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6.3\doručené_z_MPRV_12.12.2017\prílohy_k_žonfp\prílohy_k_žonfp\"/>
    </mc:Choice>
  </mc:AlternateContent>
  <bookViews>
    <workbookView xWindow="0" yWindow="0" windowWidth="28800" windowHeight="10620"/>
  </bookViews>
  <sheets>
    <sheet name="6.3" sheetId="1" r:id="rId1"/>
    <sheet name="Nezamestanosť" sheetId="2" r:id="rId2"/>
    <sheet name="štandardný výstup" sheetId="3" r:id="rId3"/>
  </sheets>
  <calcPr calcId="152511"/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1" i="2"/>
  <c r="M27" i="2" l="1"/>
  <c r="M26" i="2" s="1"/>
  <c r="R46" i="1"/>
  <c r="R39" i="1" l="1"/>
  <c r="K35" i="3" l="1"/>
  <c r="J46" i="1"/>
  <c r="B60" i="1" s="1"/>
  <c r="R42" i="1"/>
  <c r="J41" i="1" s="1"/>
  <c r="B59" i="1" s="1"/>
  <c r="J37" i="1"/>
  <c r="J33" i="1"/>
  <c r="R27" i="1"/>
  <c r="J44" i="3" l="1"/>
  <c r="J40" i="3"/>
  <c r="J36" i="3"/>
  <c r="J26" i="3"/>
  <c r="J24" i="3"/>
  <c r="J21" i="3"/>
  <c r="I49" i="3"/>
  <c r="J49" i="3" s="1"/>
  <c r="I48" i="3"/>
  <c r="J48" i="3" s="1"/>
  <c r="I47" i="3"/>
  <c r="J47" i="3" s="1"/>
  <c r="I46" i="3"/>
  <c r="J46" i="3" s="1"/>
  <c r="I45" i="3"/>
  <c r="J45" i="3" s="1"/>
  <c r="I44" i="3"/>
  <c r="I43" i="3"/>
  <c r="J43" i="3" s="1"/>
  <c r="I42" i="3"/>
  <c r="J42" i="3" s="1"/>
  <c r="I40" i="3"/>
  <c r="I39" i="3"/>
  <c r="J39" i="3" s="1"/>
  <c r="I38" i="3"/>
  <c r="J38" i="3" s="1"/>
  <c r="I36" i="3"/>
  <c r="I35" i="3"/>
  <c r="J35" i="3" s="1"/>
  <c r="I33" i="3"/>
  <c r="J33" i="3" s="1"/>
  <c r="I32" i="3"/>
  <c r="J32" i="3" s="1"/>
  <c r="I31" i="3"/>
  <c r="J31" i="3" s="1"/>
  <c r="I29" i="3"/>
  <c r="J29" i="3" s="1"/>
  <c r="I28" i="3"/>
  <c r="J28" i="3" s="1"/>
  <c r="I27" i="3"/>
  <c r="J27" i="3" s="1"/>
  <c r="I26" i="3"/>
  <c r="I25" i="3"/>
  <c r="J25" i="3" s="1"/>
  <c r="I24" i="3"/>
  <c r="I23" i="3"/>
  <c r="J23" i="3" s="1"/>
  <c r="I21" i="3"/>
  <c r="I19" i="3"/>
  <c r="J19" i="3" s="1"/>
  <c r="I18" i="3"/>
  <c r="J18" i="3" s="1"/>
  <c r="I16" i="3"/>
  <c r="J16" i="3" s="1"/>
  <c r="I15" i="3"/>
  <c r="J15" i="3" s="1"/>
  <c r="I11" i="3"/>
  <c r="J11" i="3" s="1"/>
  <c r="I12" i="3"/>
  <c r="J12" i="3" s="1"/>
  <c r="I13" i="3"/>
  <c r="J13" i="3" s="1"/>
  <c r="I10" i="3"/>
  <c r="J10" i="3" s="1"/>
  <c r="L53" i="3" l="1"/>
  <c r="J54" i="3"/>
  <c r="S23" i="1" s="1"/>
  <c r="J53" i="3"/>
  <c r="J55" i="3"/>
  <c r="S22" i="1" s="1"/>
  <c r="B57" i="1"/>
  <c r="N10" i="3"/>
  <c r="J56" i="3" l="1"/>
  <c r="R20" i="1"/>
  <c r="R22" i="1" l="1"/>
  <c r="I49" i="1"/>
  <c r="B6" i="2"/>
  <c r="D12" i="2" l="1"/>
  <c r="D13" i="2"/>
  <c r="D14" i="2"/>
  <c r="D15" i="2"/>
  <c r="D16" i="2"/>
  <c r="E16" i="2" s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1" i="2"/>
  <c r="F49" i="3" l="1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0" i="3"/>
  <c r="G40" i="3" s="1"/>
  <c r="F39" i="3"/>
  <c r="G39" i="3" s="1"/>
  <c r="F38" i="3"/>
  <c r="G38" i="3" s="1"/>
  <c r="F36" i="3"/>
  <c r="G36" i="3" s="1"/>
  <c r="F35" i="3"/>
  <c r="G35" i="3" s="1"/>
  <c r="F33" i="3"/>
  <c r="G33" i="3" s="1"/>
  <c r="F32" i="3"/>
  <c r="G32" i="3" s="1"/>
  <c r="F31" i="3"/>
  <c r="G31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1" i="3"/>
  <c r="G21" i="3" s="1"/>
  <c r="F19" i="3"/>
  <c r="G19" i="3" s="1"/>
  <c r="F18" i="3"/>
  <c r="G18" i="3" s="1"/>
  <c r="F16" i="3"/>
  <c r="G16" i="3" s="1"/>
  <c r="F15" i="3"/>
  <c r="G15" i="3" s="1"/>
  <c r="F13" i="3"/>
  <c r="G13" i="3" s="1"/>
  <c r="F12" i="3"/>
  <c r="G12" i="3" s="1"/>
  <c r="F11" i="3"/>
  <c r="G11" i="3" s="1"/>
  <c r="G55" i="3" l="1"/>
  <c r="C58" i="3"/>
  <c r="F10" i="3"/>
  <c r="G10" i="3" s="1"/>
  <c r="G53" i="3" s="1"/>
  <c r="B5" i="3"/>
  <c r="B4" i="3"/>
  <c r="G40" i="2"/>
  <c r="H40" i="2" s="1"/>
  <c r="E40" i="2"/>
  <c r="F40" i="2" s="1"/>
  <c r="G39" i="2"/>
  <c r="H39" i="2" s="1"/>
  <c r="E39" i="2"/>
  <c r="F39" i="2" s="1"/>
  <c r="G38" i="2"/>
  <c r="H38" i="2" s="1"/>
  <c r="E38" i="2"/>
  <c r="F38" i="2" s="1"/>
  <c r="G37" i="2"/>
  <c r="H37" i="2" s="1"/>
  <c r="E37" i="2"/>
  <c r="F37" i="2" s="1"/>
  <c r="G36" i="2"/>
  <c r="H36" i="2" s="1"/>
  <c r="E36" i="2"/>
  <c r="F36" i="2" s="1"/>
  <c r="G35" i="2"/>
  <c r="H35" i="2" s="1"/>
  <c r="E35" i="2"/>
  <c r="F35" i="2" s="1"/>
  <c r="G34" i="2"/>
  <c r="H34" i="2" s="1"/>
  <c r="E34" i="2"/>
  <c r="F34" i="2" s="1"/>
  <c r="G33" i="2"/>
  <c r="H33" i="2" s="1"/>
  <c r="E33" i="2"/>
  <c r="F33" i="2" s="1"/>
  <c r="G32" i="2"/>
  <c r="H32" i="2" s="1"/>
  <c r="E32" i="2"/>
  <c r="F32" i="2" s="1"/>
  <c r="G31" i="2"/>
  <c r="H31" i="2" s="1"/>
  <c r="E31" i="2"/>
  <c r="F31" i="2" s="1"/>
  <c r="G30" i="2"/>
  <c r="H30" i="2" s="1"/>
  <c r="E30" i="2"/>
  <c r="F30" i="2" s="1"/>
  <c r="G29" i="2"/>
  <c r="H29" i="2" s="1"/>
  <c r="E29" i="2"/>
  <c r="F29" i="2" s="1"/>
  <c r="G28" i="2"/>
  <c r="H28" i="2" s="1"/>
  <c r="E28" i="2"/>
  <c r="F28" i="2" s="1"/>
  <c r="G27" i="2"/>
  <c r="H27" i="2" s="1"/>
  <c r="E27" i="2"/>
  <c r="F27" i="2" s="1"/>
  <c r="G26" i="2"/>
  <c r="H26" i="2" s="1"/>
  <c r="E26" i="2"/>
  <c r="F26" i="2" s="1"/>
  <c r="G25" i="2"/>
  <c r="H25" i="2" s="1"/>
  <c r="E25" i="2"/>
  <c r="F25" i="2" s="1"/>
  <c r="G24" i="2"/>
  <c r="H24" i="2" s="1"/>
  <c r="E24" i="2"/>
  <c r="F24" i="2" s="1"/>
  <c r="G23" i="2"/>
  <c r="H23" i="2" s="1"/>
  <c r="E23" i="2"/>
  <c r="F23" i="2" s="1"/>
  <c r="G22" i="2"/>
  <c r="H22" i="2" s="1"/>
  <c r="E22" i="2"/>
  <c r="F22" i="2" s="1"/>
  <c r="G21" i="2"/>
  <c r="H21" i="2" s="1"/>
  <c r="E21" i="2"/>
  <c r="F21" i="2" s="1"/>
  <c r="G20" i="2"/>
  <c r="H20" i="2" s="1"/>
  <c r="E20" i="2"/>
  <c r="F20" i="2" s="1"/>
  <c r="G19" i="2"/>
  <c r="H19" i="2" s="1"/>
  <c r="E19" i="2"/>
  <c r="F19" i="2" s="1"/>
  <c r="G18" i="2"/>
  <c r="H18" i="2" s="1"/>
  <c r="E18" i="2"/>
  <c r="F18" i="2" s="1"/>
  <c r="G17" i="2"/>
  <c r="H17" i="2" s="1"/>
  <c r="E17" i="2"/>
  <c r="F17" i="2" s="1"/>
  <c r="G16" i="2"/>
  <c r="H16" i="2" s="1"/>
  <c r="F16" i="2"/>
  <c r="G15" i="2"/>
  <c r="H15" i="2" s="1"/>
  <c r="E15" i="2"/>
  <c r="F15" i="2" s="1"/>
  <c r="G14" i="2"/>
  <c r="H14" i="2" s="1"/>
  <c r="E14" i="2"/>
  <c r="F14" i="2" s="1"/>
  <c r="G13" i="2"/>
  <c r="H13" i="2" s="1"/>
  <c r="E13" i="2"/>
  <c r="F13" i="2" s="1"/>
  <c r="G12" i="2"/>
  <c r="H12" i="2" s="1"/>
  <c r="E12" i="2"/>
  <c r="F12" i="2" s="1"/>
  <c r="I11" i="2"/>
  <c r="G11" i="2"/>
  <c r="H11" i="2" s="1"/>
  <c r="E11" i="2"/>
  <c r="B5" i="2"/>
  <c r="B4" i="2"/>
  <c r="B58" i="1"/>
  <c r="J27" i="1"/>
  <c r="B56" i="1" s="1"/>
  <c r="O10" i="3" l="1"/>
  <c r="G56" i="3"/>
  <c r="B61" i="3" s="1"/>
  <c r="E43" i="2"/>
  <c r="F11" i="2"/>
  <c r="F43" i="2" s="1"/>
  <c r="N11" i="3"/>
  <c r="B62" i="1" l="1"/>
  <c r="B55" i="1"/>
  <c r="T23" i="1"/>
  <c r="T22" i="1"/>
  <c r="N15" i="3"/>
  <c r="N16" i="3"/>
  <c r="F44" i="2"/>
  <c r="E44" i="2" l="1"/>
  <c r="H18" i="1" s="1"/>
  <c r="J17" i="1" s="1"/>
  <c r="B60" i="3"/>
  <c r="J45" i="1" s="1"/>
  <c r="S24" i="1"/>
  <c r="B53" i="1" l="1"/>
  <c r="B61" i="1"/>
  <c r="U23" i="1"/>
  <c r="V23" i="1" s="1"/>
  <c r="U22" i="1"/>
  <c r="V22" i="1" l="1"/>
  <c r="W23" i="1" s="1"/>
  <c r="H24" i="1" s="1"/>
  <c r="W22" i="1" l="1"/>
  <c r="X22" i="1" s="1"/>
  <c r="H23" i="1" l="1"/>
  <c r="J22" i="1"/>
  <c r="J49" i="1" s="1"/>
  <c r="X23" i="1"/>
</calcChain>
</file>

<file path=xl/sharedStrings.xml><?xml version="1.0" encoding="utf-8"?>
<sst xmlns="http://schemas.openxmlformats.org/spreadsheetml/2006/main" count="349" uniqueCount="230">
  <si>
    <t>Žiadateľ</t>
  </si>
  <si>
    <t>IČO</t>
  </si>
  <si>
    <t>NEZAMESTANOSŤ</t>
  </si>
  <si>
    <t>Projekt sa realizuje v okrese/okresoch:</t>
  </si>
  <si>
    <t>skryt</t>
  </si>
  <si>
    <t>P.č.</t>
  </si>
  <si>
    <t>Kraj - okres</t>
  </si>
  <si>
    <t>Okres</t>
  </si>
  <si>
    <t>Nezamestanosť</t>
  </si>
  <si>
    <t>kontrola</t>
  </si>
  <si>
    <t>kontrola1</t>
  </si>
  <si>
    <t>PRIEMER NEZAMESTNANOSŤ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</si>
  <si>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</si>
  <si>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</si>
  <si>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</si>
  <si>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</si>
  <si>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</si>
  <si>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</si>
  <si>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</si>
  <si>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</si>
  <si>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</si>
  <si>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</si>
  <si>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</si>
  <si>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</si>
  <si>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</si>
  <si>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</si>
  <si>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</si>
  <si>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</si>
  <si>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</si>
  <si>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</si>
  <si>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</si>
  <si>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</si>
  <si>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</si>
  <si>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</si>
  <si>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</si>
  <si>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</si>
  <si>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</si>
  <si>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</si>
  <si>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</si>
  <si>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</si>
  <si>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</si>
  <si>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</si>
  <si>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</si>
  <si>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</si>
  <si>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</si>
  <si>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</si>
  <si>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</si>
  <si>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</si>
  <si>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</si>
  <si>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</si>
  <si>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</si>
  <si>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</si>
  <si>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</si>
  <si>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</si>
  <si>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</si>
  <si>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</si>
  <si>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</si>
  <si>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</si>
  <si>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</si>
  <si>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</si>
  <si>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</si>
  <si>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</si>
  <si>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t>Kritérium</t>
  </si>
  <si>
    <t>Body</t>
  </si>
  <si>
    <t>Poznámka</t>
  </si>
  <si>
    <t>Evidovaná miera nezamestnanosti v %</t>
  </si>
  <si>
    <t>V prípade, ak sa projekt realizuje vo viacerých okresoch, body sa pridelia na základe nezamestnanosti vypočítanej aritmetickým priemerom z údajov nezamestnanosti všetkých okresov, kde sa projekt realizuje.</t>
  </si>
  <si>
    <t>Žiadateľ bude mať podnikateľský plán zameraný:</t>
  </si>
  <si>
    <t>1.</t>
  </si>
  <si>
    <t>2.</t>
  </si>
  <si>
    <t>3.</t>
  </si>
  <si>
    <t>4.</t>
  </si>
  <si>
    <t>5.</t>
  </si>
  <si>
    <t>štandardný výstup</t>
  </si>
  <si>
    <t>rastlinná</t>
  </si>
  <si>
    <t>živočíšna</t>
  </si>
  <si>
    <t>výsledok</t>
  </si>
  <si>
    <t>percento</t>
  </si>
  <si>
    <t>ak je chyba</t>
  </si>
  <si>
    <t>Percento pre pridelenie bodov</t>
  </si>
  <si>
    <t>Súčet bodov</t>
  </si>
  <si>
    <t>Kontrola vyplnenia</t>
  </si>
  <si>
    <t>Oprávnená komodita</t>
  </si>
  <si>
    <t>merná jednotka</t>
  </si>
  <si>
    <t>Hodnota štandardného výstupu v EUR na mernú jednotku</t>
  </si>
  <si>
    <t>Rastlinná výroba</t>
  </si>
  <si>
    <t>x</t>
  </si>
  <si>
    <t>Strukoviny</t>
  </si>
  <si>
    <t>ha</t>
  </si>
  <si>
    <t>Zemiaky</t>
  </si>
  <si>
    <t>Vinohrady</t>
  </si>
  <si>
    <t>Živočíšna výroba</t>
  </si>
  <si>
    <t>Kone a koňovité zvieratá</t>
  </si>
  <si>
    <t>ks</t>
  </si>
  <si>
    <t>Hovädzí dobytok</t>
  </si>
  <si>
    <t>HD mladší ako 1 rok</t>
  </si>
  <si>
    <t>býky od 1 do 2 rokov</t>
  </si>
  <si>
    <t>jalovice od 1 do 2 rokov</t>
  </si>
  <si>
    <t>býky staršie ako 2 roky</t>
  </si>
  <si>
    <t>jalovice staršie ako 2 roky</t>
  </si>
  <si>
    <t>dojnice</t>
  </si>
  <si>
    <t>ostatné kravy staršie ako 2 roky</t>
  </si>
  <si>
    <t>Ovce</t>
  </si>
  <si>
    <t>bahnice</t>
  </si>
  <si>
    <t>jarky</t>
  </si>
  <si>
    <t>ostatné ovce</t>
  </si>
  <si>
    <t>Kozy</t>
  </si>
  <si>
    <t>chovné samice</t>
  </si>
  <si>
    <t>ostatné</t>
  </si>
  <si>
    <t>Ošípané</t>
  </si>
  <si>
    <t>chovné prasnice</t>
  </si>
  <si>
    <t>ostatné ošípané</t>
  </si>
  <si>
    <t>Hydina</t>
  </si>
  <si>
    <t>brojlery</t>
  </si>
  <si>
    <t>nosnice</t>
  </si>
  <si>
    <t>morky</t>
  </si>
  <si>
    <t xml:space="preserve">kačky </t>
  </si>
  <si>
    <t>husi</t>
  </si>
  <si>
    <t>ostatná hydina</t>
  </si>
  <si>
    <t>Králiky - chovné samice</t>
  </si>
  <si>
    <t>Štandardný výstup živočíšna výroba</t>
  </si>
  <si>
    <t>SPOLU štandardný výstup</t>
  </si>
  <si>
    <t>Počet zamestnaných na trvalý pracovný pomer</t>
  </si>
  <si>
    <t>výsledok výpočtu</t>
  </si>
  <si>
    <t>Aromatické, liečivé, koreninové rastliny a byliny</t>
  </si>
  <si>
    <t>Zelenina, melóny a jahody:</t>
  </si>
  <si>
    <t>Ovocie mierneho pásma:</t>
  </si>
  <si>
    <t>-   otvorené priestranstvo (orná pôda)</t>
  </si>
  <si>
    <t>-   sady</t>
  </si>
  <si>
    <t>Včelstvá – úľ</t>
  </si>
  <si>
    <t>Štandardný výstup rastlinná výroba</t>
  </si>
  <si>
    <t>prasiatka (do 20 kg)</t>
  </si>
  <si>
    <t>Aromatické, liečivé, koreninové rastliny a byliny kryté priestranstvo (skleník, fóliovník)</t>
  </si>
  <si>
    <t>-   kryté priestranstvo (skleník, fóliovník)</t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</si>
  <si>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</si>
  <si>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</si>
  <si>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</si>
  <si>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</si>
  <si>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</si>
  <si>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</si>
  <si>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</si>
  <si>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</si>
  <si>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</si>
  <si>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</si>
  <si>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</si>
  <si>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</si>
  <si>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</si>
  <si>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</si>
  <si>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</si>
  <si>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</si>
  <si>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</si>
  <si>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</si>
  <si>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</si>
  <si>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</si>
  <si>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</si>
  <si>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</si>
  <si>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</si>
  <si>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</si>
  <si>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</si>
  <si>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</si>
  <si>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</si>
  <si>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</si>
  <si>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Kód projektu</t>
  </si>
  <si>
    <t>Počet bodov žiadateľ</t>
  </si>
  <si>
    <t>b) 2 pracovníkov</t>
  </si>
  <si>
    <t>c) 1 pracovníka.</t>
  </si>
  <si>
    <t>Bodové hodnotenie pre podopatrenie 6.3 – Pomoc na začatie podnikateľskej činnosti na rozvoj malých poľnohospodárskych podnikov</t>
  </si>
  <si>
    <t>Maximálna hodnota štandardného výstupu v EUR</t>
  </si>
  <si>
    <t>toto je maximálny štandardný výstup</t>
  </si>
  <si>
    <t>Dosiahnutý štandardný výstup v čase predloženia ŽoNFP</t>
  </si>
  <si>
    <t>počet/výmera v čase predloženia ŽoNFP</t>
  </si>
  <si>
    <t>počet/výmera podľa podnikateľského plánu</t>
  </si>
  <si>
    <t>Dosiahnutý štandardný výstup podľa podnikateľského plánu</t>
  </si>
  <si>
    <t>Výstup1 - SKRYŤ</t>
  </si>
  <si>
    <t>Výstup2 - SKRYŤ</t>
  </si>
  <si>
    <t>Štandardný výstup podľa podnikateľského plánu</t>
  </si>
  <si>
    <t>Maximálna hodnota štandardného výstupu v čase predloženia ŽoNFP</t>
  </si>
  <si>
    <t>DOSIAHNUTÝ A PLÁNOVANÝ ŠTANDARDNÝ VÝSTUP</t>
  </si>
  <si>
    <t>Lučenec</t>
  </si>
  <si>
    <t>Poltár</t>
  </si>
  <si>
    <t>Revúca</t>
  </si>
  <si>
    <t>Rimavská Sobota</t>
  </si>
  <si>
    <t>Veľký Krtíš</t>
  </si>
  <si>
    <t>Kežmarok</t>
  </si>
  <si>
    <t>Sabinov</t>
  </si>
  <si>
    <t>Svidník</t>
  </si>
  <si>
    <t>Vranov nad Topľou</t>
  </si>
  <si>
    <t>Rožňava</t>
  </si>
  <si>
    <t>Sobrance</t>
  </si>
  <si>
    <t>Trebišov</t>
  </si>
  <si>
    <t>Najmenej rozvinuté okresy</t>
  </si>
  <si>
    <t xml:space="preserve">a) Projekt sa realizuje v okrese s priemernou mierou evidovanej nezamestnanosti v roku predchádzajúcom roku vyhlásenia výzvy: </t>
  </si>
  <si>
    <t>– do 13,5% vrátane</t>
  </si>
  <si>
    <t>– nad 13,5% (ak okres nie je uvedený na Zozname najmenej rozvinutých okresov podľa zákona 336/2015 Z.z.)</t>
  </si>
  <si>
    <t>b) Projekt sa realizuje VÝHRADNE v najmenej rozvinutom okrese</t>
  </si>
  <si>
    <t>a) minimálne 60% štandardného výstupu  na živočíšnu výrobu</t>
  </si>
  <si>
    <t>b) minimálne 60% štandardného výstupu na pestovanie zemiakov, strukovín a/alebo zeleniny.</t>
  </si>
  <si>
    <t>V prípade, že 60% dosiahne v súčte za obidve kategórie, žiadateľ získa počet bodov vypočítaný váženým aritmetickým priemerom.</t>
  </si>
  <si>
    <t>Žiadateľ má ukončené:</t>
  </si>
  <si>
    <t>a) vysokoškolské vzdelanie poľnohospodárskeho alebo veterinárneho zamerania;</t>
  </si>
  <si>
    <t>b) stredoškolské vzdelanie poľnohospodárskeho alebo veterinárneho zamerania s maturitou alebo bez;</t>
  </si>
  <si>
    <t>c) vysokoškolské vzdelanie iného zamerania ako v bode a);</t>
  </si>
  <si>
    <t>d) stredoškolské vzdelanie iného zamerania ako v bode b);</t>
  </si>
  <si>
    <t>e) základné vzdelanie.</t>
  </si>
  <si>
    <t>Maximálny počet bodov je 8.
Body sa pridelia podľa najvyššieho ukončeného vzdelania.</t>
  </si>
  <si>
    <t>Žiadateľ sa zaviaže, že počas 2.a 3. roka od začatia realizácie projektu zamestná na trvalý pracovný pomer na celý úväzok (vrátane seba, ak doteraz nebol):</t>
  </si>
  <si>
    <t>a) viac ako 2 pracovníkov</t>
  </si>
  <si>
    <t>Spôsob uplatňovania bude uvedený  v zmluve o NFP. 
Maximálny počet bodov je 8.</t>
  </si>
  <si>
    <t>Žiadateľ vo svojom podnikateľskom pláne  deklaruje zámer  podnikať v rámci ekologického poľnohospodárstva, integrovanej produkcie  alebo využiť zaradenie do opatrenia „Dobré životné podmienky zvierat“ PRV SR 2014-2020 alebo využiť činnosť malého podniku ako hlavný zdroj príjmu.</t>
  </si>
  <si>
    <t>Maximálny počet bodov je 8.</t>
  </si>
  <si>
    <t>Žiadateľ svoje podnikanie vykonáva v podmienkach hospodárenia (viac ako 50%):</t>
  </si>
  <si>
    <t>a) ANC, ktoré sú súčasne zraniteľnými oblasťami;</t>
  </si>
  <si>
    <t>b) ANC</t>
  </si>
  <si>
    <t>6.</t>
  </si>
  <si>
    <t>Maximálny počet bodov je 7. 
Body sa pridelia podľa deklarácie priamych platieb z roku 2017.</t>
  </si>
  <si>
    <t>Zameranie podnikateľského plánu len na chov chovných prasníc, moriek, husí a/alebo kôz.</t>
  </si>
  <si>
    <t>7.</t>
  </si>
  <si>
    <t>8.</t>
  </si>
  <si>
    <t>Maximálny počet bodov je 12.</t>
  </si>
  <si>
    <t>Body sa uplatnia len v prípade  komodít (vrátane súvisiacich a spracovaných komodít v zmysle § 7a nariadenia vlády SR 360/2011 Z.z. – napr. hydina – vajcia, včely – med) z Tabuľky rozlíšenia ŠV, keďže dané nariadenie upravuje aj priamy predaj iných komodít ako sú napr. ryby.</t>
  </si>
  <si>
    <t>Štandardný výstup zemiaky, strukovíny a/alebo zeleniny</t>
  </si>
  <si>
    <t>výstup morky, husi ...</t>
  </si>
  <si>
    <t>BB - Rimavská Sobota</t>
  </si>
  <si>
    <t>Počet bodov</t>
  </si>
  <si>
    <r>
      <t>Žiadateľ predáva, resp. vo svojom podnikateľskom pláne deklaruje zámer predávať svoj produkt konečnému spotrebiteľovi alebo miestnej maloobchodnej prevádzkarni v zmysle nariadení vlády SR č. 360/2011</t>
    </r>
    <r>
      <rPr>
        <vertAlign val="superscript"/>
        <sz val="10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 xml:space="preserve"> Z.z.  a 359/2011</t>
    </r>
    <r>
      <rPr>
        <vertAlign val="superscript"/>
        <sz val="10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 xml:space="preserve"> Z.z. , resp. v zmysle nariadení (ES) č. 852/2004</t>
    </r>
    <r>
      <rPr>
        <vertAlign val="superscript"/>
        <sz val="10"/>
        <color theme="1"/>
        <rFont val="Calibri"/>
        <family val="2"/>
        <charset val="238"/>
        <scheme val="minor"/>
      </rPr>
      <t>12</t>
    </r>
    <r>
      <rPr>
        <sz val="10"/>
        <color theme="1"/>
        <rFont val="Calibri"/>
        <family val="2"/>
        <charset val="238"/>
        <scheme val="minor"/>
      </rPr>
      <t xml:space="preserve">  a 853/2004</t>
    </r>
    <r>
      <rPr>
        <vertAlign val="superscript"/>
        <sz val="10"/>
        <color theme="1"/>
        <rFont val="Calibri"/>
        <family val="2"/>
        <charset val="238"/>
        <scheme val="minor"/>
      </rPr>
      <t>14</t>
    </r>
    <r>
      <rPr>
        <sz val="10"/>
        <color theme="1"/>
        <rFont val="Calibri"/>
        <family val="2"/>
        <charset val="238"/>
        <scheme val="minor"/>
      </rPr>
      <t xml:space="preserve"> a pod.</t>
    </r>
  </si>
  <si>
    <r>
      <rPr>
        <b/>
        <sz val="9"/>
        <rFont val="Calibri"/>
        <family val="2"/>
        <charset val="238"/>
        <scheme val="minor"/>
      </rPr>
      <t xml:space="preserve">BB - </t>
    </r>
    <r>
      <rPr>
        <sz val="9"/>
        <rFont val="Calibri"/>
        <family val="2"/>
        <charset val="238"/>
        <scheme val="minor"/>
      </rPr>
      <t>Rimavská Sobota</t>
    </r>
  </si>
  <si>
    <r>
      <rPr>
        <vertAlign val="superscript"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 Nariadenie vlády SR 360/2011 Z.z., ktorým sa ustanovujú hygienické požiadavky na priamy predaj a dodávanie malého množstva prvotných produktov rastlinného a živočíšneho pôvodu a dodávanie mlieka a mliečnych výrobkov konečnému spotrebiteľovi a iným maloobchodným prevádzkarniam.</t>
    </r>
  </si>
  <si>
    <r>
      <rPr>
        <vertAlign val="superscript"/>
        <sz val="9"/>
        <color theme="1"/>
        <rFont val="Calibri"/>
        <family val="2"/>
        <charset val="238"/>
        <scheme val="minor"/>
      </rPr>
      <t>11</t>
    </r>
    <r>
      <rPr>
        <sz val="9"/>
        <color theme="1"/>
        <rFont val="Calibri"/>
        <family val="2"/>
        <charset val="238"/>
        <scheme val="minor"/>
      </rPr>
      <t xml:space="preserve"> Nariadenie vlády SR 359/2011 Z.z., ktorým sa ustanovujú požiadavky na niektoré potravinárske prevádzkarne a na malé množstvá.</t>
    </r>
  </si>
  <si>
    <r>
      <rPr>
        <vertAlign val="superscript"/>
        <sz val="9"/>
        <color theme="1"/>
        <rFont val="Calibri"/>
        <family val="2"/>
        <charset val="238"/>
        <scheme val="minor"/>
      </rPr>
      <t>12</t>
    </r>
    <r>
      <rPr>
        <sz val="9"/>
        <color theme="1"/>
        <rFont val="Calibri"/>
        <family val="2"/>
        <charset val="238"/>
        <scheme val="minor"/>
      </rPr>
      <t xml:space="preserve"> Nariadenie  (ES) č. 852/2004 o hygiene potravín.</t>
    </r>
  </si>
  <si>
    <r>
      <rPr>
        <vertAlign val="superscript"/>
        <sz val="9"/>
        <color theme="1"/>
        <rFont val="Calibri"/>
        <family val="2"/>
        <charset val="238"/>
        <scheme val="minor"/>
      </rPr>
      <t>13</t>
    </r>
    <r>
      <rPr>
        <sz val="9"/>
        <color theme="1"/>
        <rFont val="Calibri"/>
        <family val="2"/>
        <charset val="238"/>
        <scheme val="minor"/>
      </rPr>
      <t xml:space="preserve"> Nariadenie (ES) č. 853/2004, ktorým sa ustanovujú osobitné hygienické predpisy pre potraviny živočíšneho pôvodu.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</si>
</sst>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vertical="center" wrapText="1"/>
    </xf>
    <xf numFmtId="0" fontId="3" fillId="0" borderId="1" xfId="1" applyNumberFormat="1" applyFont="1" applyBorder="1" applyAlignment="1" applyProtection="1">
      <alignment horizontal="left" vertical="center"/>
      <protection hidden="1"/>
    </xf>
    <xf numFmtId="0" fontId="3" fillId="0" borderId="13" xfId="1" applyNumberFormat="1" applyFont="1" applyBorder="1" applyAlignment="1" applyProtection="1">
      <alignment vertical="center"/>
      <protection locked="0" hidden="1"/>
    </xf>
    <xf numFmtId="0" fontId="3" fillId="0" borderId="0" xfId="1" applyNumberFormat="1" applyFont="1" applyBorder="1" applyAlignment="1" applyProtection="1">
      <alignment vertical="center"/>
      <protection locked="0" hidden="1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Protection="1">
      <protection locked="0"/>
    </xf>
    <xf numFmtId="0" fontId="4" fillId="0" borderId="1" xfId="1" applyFont="1" applyBorder="1" applyAlignment="1" applyProtection="1">
      <alignment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4" fontId="4" fillId="4" borderId="0" xfId="1" applyNumberFormat="1" applyFont="1" applyFill="1"/>
    <xf numFmtId="0" fontId="4" fillId="4" borderId="0" xfId="1" applyFont="1" applyFill="1"/>
    <xf numFmtId="2" fontId="3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1" applyFont="1"/>
    <xf numFmtId="0" fontId="4" fillId="4" borderId="0" xfId="1" applyFont="1" applyFill="1" applyAlignment="1">
      <alignment horizontal="center" vertical="center"/>
    </xf>
    <xf numFmtId="0" fontId="4" fillId="0" borderId="1" xfId="1" applyFont="1" applyBorder="1"/>
    <xf numFmtId="0" fontId="4" fillId="0" borderId="0" xfId="0" applyFont="1"/>
    <xf numFmtId="0" fontId="4" fillId="0" borderId="0" xfId="0" applyFont="1" applyAlignment="1" applyProtection="1">
      <alignment vertical="center"/>
      <protection hidden="1"/>
    </xf>
    <xf numFmtId="0" fontId="3" fillId="0" borderId="0" xfId="1" applyFont="1" applyBorder="1" applyAlignment="1">
      <alignment vertical="center" wrapText="1"/>
    </xf>
    <xf numFmtId="2" fontId="4" fillId="0" borderId="0" xfId="0" applyNumberFormat="1" applyFont="1" applyProtection="1">
      <protection locked="0"/>
    </xf>
    <xf numFmtId="4" fontId="4" fillId="4" borderId="0" xfId="0" applyNumberFormat="1" applyFont="1" applyFill="1" applyProtection="1">
      <protection locked="0" hidden="1"/>
    </xf>
    <xf numFmtId="4" fontId="4" fillId="0" borderId="0" xfId="0" applyNumberFormat="1" applyFont="1" applyProtection="1">
      <protection locked="0" hidden="1"/>
    </xf>
    <xf numFmtId="4" fontId="4" fillId="4" borderId="0" xfId="0" applyNumberFormat="1" applyFont="1" applyFill="1" applyAlignment="1" applyProtection="1">
      <alignment vertical="center"/>
      <protection locked="0" hidden="1"/>
    </xf>
    <xf numFmtId="0" fontId="4" fillId="0" borderId="0" xfId="0" applyFont="1" applyProtection="1">
      <protection locked="0" hidden="1"/>
    </xf>
    <xf numFmtId="0" fontId="3" fillId="4" borderId="0" xfId="0" applyFont="1" applyFill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6" fillId="7" borderId="14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/>
    </xf>
    <xf numFmtId="4" fontId="4" fillId="0" borderId="1" xfId="0" applyNumberFormat="1" applyFont="1" applyFill="1" applyBorder="1" applyAlignment="1">
      <alignment horizontal="right" vertical="center" wrapText="1" indent="2"/>
    </xf>
    <xf numFmtId="3" fontId="4" fillId="0" borderId="1" xfId="0" applyNumberFormat="1" applyFont="1" applyFill="1" applyBorder="1" applyAlignment="1">
      <alignment horizontal="right" vertical="center" wrapText="1" indent="4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  <protection hidden="1"/>
    </xf>
    <xf numFmtId="4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left" vertical="center" indent="2"/>
    </xf>
    <xf numFmtId="49" fontId="4" fillId="0" borderId="3" xfId="0" applyNumberFormat="1" applyFont="1" applyFill="1" applyBorder="1" applyAlignment="1">
      <alignment horizontal="left" vertical="center" indent="2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Protection="1">
      <protection hidden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 indent="3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 wrapText="1" indent="2"/>
    </xf>
    <xf numFmtId="3" fontId="4" fillId="0" borderId="4" xfId="0" applyNumberFormat="1" applyFont="1" applyFill="1" applyBorder="1" applyAlignment="1">
      <alignment horizontal="right" vertical="center" wrapText="1" indent="4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Protection="1">
      <protection hidden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3" borderId="0" xfId="0" applyFont="1" applyFill="1"/>
    <xf numFmtId="4" fontId="4" fillId="3" borderId="0" xfId="0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4" fontId="4" fillId="0" borderId="1" xfId="0" applyNumberFormat="1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10" fillId="0" borderId="0" xfId="0" applyFont="1" applyBorder="1" applyAlignment="1" applyProtection="1">
      <alignment vertical="center"/>
      <protection locked="0" hidden="1"/>
    </xf>
    <xf numFmtId="2" fontId="10" fillId="0" borderId="0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/>
      <protection locked="0" hidden="1"/>
    </xf>
    <xf numFmtId="0" fontId="4" fillId="0" borderId="4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4" fillId="0" borderId="0" xfId="0" applyFont="1" applyFill="1" applyProtection="1">
      <protection locked="0" hidden="1"/>
    </xf>
    <xf numFmtId="0" fontId="4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4" fillId="5" borderId="0" xfId="0" applyNumberFormat="1" applyFont="1" applyFill="1" applyAlignment="1" applyProtection="1">
      <alignment vertical="center"/>
      <protection locked="0" hidden="1"/>
    </xf>
    <xf numFmtId="4" fontId="4" fillId="0" borderId="0" xfId="0" applyNumberFormat="1" applyFont="1" applyFill="1" applyAlignment="1" applyProtection="1">
      <alignment vertical="center"/>
      <protection locked="0" hidden="1"/>
    </xf>
    <xf numFmtId="10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locked="0" hidden="1"/>
    </xf>
    <xf numFmtId="10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locked="0" hidden="1"/>
    </xf>
    <xf numFmtId="4" fontId="12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</xf>
    <xf numFmtId="2" fontId="12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2" fontId="12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2" fontId="12" fillId="0" borderId="14" xfId="0" applyNumberFormat="1" applyFont="1" applyFill="1" applyBorder="1" applyAlignment="1" applyProtection="1">
      <alignment vertical="center" wrapText="1"/>
      <protection locked="0"/>
    </xf>
    <xf numFmtId="2" fontId="12" fillId="0" borderId="4" xfId="0" applyNumberFormat="1" applyFont="1" applyFill="1" applyBorder="1" applyAlignment="1" applyProtection="1">
      <alignment vertical="center" wrapText="1"/>
      <protection locked="0"/>
    </xf>
    <xf numFmtId="2" fontId="12" fillId="0" borderId="8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Protection="1">
      <protection locked="0" hidden="1"/>
    </xf>
    <xf numFmtId="2" fontId="12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wrapText="1"/>
    </xf>
    <xf numFmtId="0" fontId="10" fillId="0" borderId="0" xfId="0" applyFont="1" applyBorder="1" applyAlignment="1" applyProtection="1">
      <alignment vertical="center" wrapText="1"/>
      <protection locked="0" hidden="1"/>
    </xf>
    <xf numFmtId="2" fontId="10" fillId="0" borderId="0" xfId="0" applyNumberFormat="1" applyFont="1" applyBorder="1" applyAlignment="1" applyProtection="1">
      <alignment horizontal="center" vertical="center" wrapText="1"/>
      <protection locked="0"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2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2" fillId="0" borderId="4" xfId="0" applyNumberFormat="1" applyFont="1" applyFill="1" applyBorder="1" applyAlignment="1" applyProtection="1">
      <alignment horizontal="center" vertical="center"/>
      <protection hidden="1"/>
    </xf>
    <xf numFmtId="4" fontId="12" fillId="0" borderId="8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2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/>
      <protection hidden="1"/>
    </xf>
    <xf numFmtId="0" fontId="12" fillId="5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1" xfId="1" applyNumberFormat="1" applyFont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 wrapText="1"/>
    </xf>
  </cellXfs>
  <cellStyles count="2">
    <cellStyle name="Normálne" xfId="0" builtinId="0"/>
    <cellStyle name="Normálne 2" xfId="1"/>
  </cellStyles>
  <dxfs count="42"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Q$4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Q$46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Q$27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Q$39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57150</xdr:rowOff>
        </xdr:from>
        <xdr:to>
          <xdr:col>7</xdr:col>
          <xdr:colOff>1095375</xdr:colOff>
          <xdr:row>27</xdr:row>
          <xdr:rowOff>276225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28</xdr:row>
          <xdr:rowOff>47625</xdr:rowOff>
        </xdr:from>
        <xdr:to>
          <xdr:col>7</xdr:col>
          <xdr:colOff>1028700</xdr:colOff>
          <xdr:row>28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29</xdr:row>
          <xdr:rowOff>38100</xdr:rowOff>
        </xdr:from>
        <xdr:to>
          <xdr:col>7</xdr:col>
          <xdr:colOff>1104900</xdr:colOff>
          <xdr:row>29</xdr:row>
          <xdr:rowOff>295275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30</xdr:row>
          <xdr:rowOff>28575</xdr:rowOff>
        </xdr:from>
        <xdr:to>
          <xdr:col>7</xdr:col>
          <xdr:colOff>1066800</xdr:colOff>
          <xdr:row>30</xdr:row>
          <xdr:rowOff>295275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31</xdr:row>
          <xdr:rowOff>38100</xdr:rowOff>
        </xdr:from>
        <xdr:to>
          <xdr:col>7</xdr:col>
          <xdr:colOff>1152525</xdr:colOff>
          <xdr:row>31</xdr:row>
          <xdr:rowOff>257175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38100</xdr:rowOff>
        </xdr:from>
        <xdr:to>
          <xdr:col>7</xdr:col>
          <xdr:colOff>1171575</xdr:colOff>
          <xdr:row>37</xdr:row>
          <xdr:rowOff>228600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ekologické poľnohospodárstvo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333375</xdr:rowOff>
        </xdr:from>
        <xdr:to>
          <xdr:col>7</xdr:col>
          <xdr:colOff>1104900</xdr:colOff>
          <xdr:row>39</xdr:row>
          <xdr:rowOff>285750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dobré životné podmienky zvierat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400050</xdr:rowOff>
        </xdr:from>
        <xdr:to>
          <xdr:col>7</xdr:col>
          <xdr:colOff>1000125</xdr:colOff>
          <xdr:row>39</xdr:row>
          <xdr:rowOff>676275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hlavný zdroj príjmu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800100</xdr:rowOff>
        </xdr:from>
        <xdr:to>
          <xdr:col>7</xdr:col>
          <xdr:colOff>971550</xdr:colOff>
          <xdr:row>39</xdr:row>
          <xdr:rowOff>1038225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41</xdr:row>
          <xdr:rowOff>38100</xdr:rowOff>
        </xdr:from>
        <xdr:to>
          <xdr:col>7</xdr:col>
          <xdr:colOff>990600</xdr:colOff>
          <xdr:row>41</xdr:row>
          <xdr:rowOff>257175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42</xdr:row>
          <xdr:rowOff>38100</xdr:rowOff>
        </xdr:from>
        <xdr:to>
          <xdr:col>7</xdr:col>
          <xdr:colOff>1019175</xdr:colOff>
          <xdr:row>42</xdr:row>
          <xdr:rowOff>257175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43</xdr:row>
          <xdr:rowOff>38100</xdr:rowOff>
        </xdr:from>
        <xdr:to>
          <xdr:col>7</xdr:col>
          <xdr:colOff>962025</xdr:colOff>
          <xdr:row>43</xdr:row>
          <xdr:rowOff>257175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342900</xdr:rowOff>
        </xdr:from>
        <xdr:to>
          <xdr:col>8</xdr:col>
          <xdr:colOff>0</xdr:colOff>
          <xdr:row>46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45</xdr:row>
          <xdr:rowOff>66675</xdr:rowOff>
        </xdr:from>
        <xdr:to>
          <xdr:col>7</xdr:col>
          <xdr:colOff>1104900</xdr:colOff>
          <xdr:row>45</xdr:row>
          <xdr:rowOff>342900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Áno predávam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45</xdr:row>
          <xdr:rowOff>847725</xdr:rowOff>
        </xdr:from>
        <xdr:to>
          <xdr:col>7</xdr:col>
          <xdr:colOff>942975</xdr:colOff>
          <xdr:row>45</xdr:row>
          <xdr:rowOff>1047750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276225</xdr:rowOff>
        </xdr:from>
        <xdr:to>
          <xdr:col>7</xdr:col>
          <xdr:colOff>1066800</xdr:colOff>
          <xdr:row>38</xdr:row>
          <xdr:rowOff>247650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integrovaná     produkcia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45</xdr:row>
          <xdr:rowOff>428625</xdr:rowOff>
        </xdr:from>
        <xdr:to>
          <xdr:col>7</xdr:col>
          <xdr:colOff>1095375</xdr:colOff>
          <xdr:row>45</xdr:row>
          <xdr:rowOff>819150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Áno deklarujem     zámer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uľka1" displayName="Tabuľka1" ref="A8:J49" totalsRowShown="0" headerRowDxfId="14" dataDxfId="12" headerRowBorderDxfId="13" tableBorderDxfId="11" totalsRowBorderDxfId="10">
  <tableColumns count="10">
    <tableColumn id="1" name="Oprávnená komodita" dataDxfId="9"/>
    <tableColumn id="2" name="merná jednotka" dataDxfId="8"/>
    <tableColumn id="3" name="Hodnota štandardného výstupu v EUR na mernú jednotku" dataDxfId="7"/>
    <tableColumn id="4" name="Maximálna hodnota štandardného výstupu v EUR" dataDxfId="6"/>
    <tableColumn id="5" name="počet/výmera v čase predloženia ŽoNFP" dataDxfId="5"/>
    <tableColumn id="6" name="Výstup1 - SKRYŤ" dataDxfId="4">
      <calculatedColumnFormula>C9*E9</calculatedColumnFormula>
    </tableColumn>
    <tableColumn id="7" name="Dosiahnutý štandardný výstup v čase predloženia ŽoNFP" dataDxfId="3">
      <calculatedColumnFormula>IF(F9=0,"",F9)</calculatedColumnFormula>
    </tableColumn>
    <tableColumn id="8" name="počet/výmera podľa podnikateľského plánu" dataDxfId="2"/>
    <tableColumn id="10" name="Výstup2 - SKRYŤ" dataDxfId="1"/>
    <tableColumn id="9" name="Dosiahnutý štandardný výstup podľa podnikateľského plán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X80"/>
  <sheetViews>
    <sheetView tabSelected="1" topLeftCell="A2" zoomScaleNormal="100" workbookViewId="0">
      <selection activeCell="B54" sqref="B54:F54"/>
    </sheetView>
  </sheetViews>
  <sheetFormatPr defaultRowHeight="12.75" x14ac:dyDescent="0.2"/>
  <cols>
    <col min="1" max="1" width="4.42578125" style="22" bestFit="1" customWidth="1"/>
    <col min="2" max="2" width="27.42578125" style="22" bestFit="1" customWidth="1"/>
    <col min="3" max="3" width="17.28515625" style="22" customWidth="1"/>
    <col min="4" max="4" width="9.140625" style="22"/>
    <col min="5" max="5" width="8.42578125" style="22" customWidth="1"/>
    <col min="6" max="6" width="6" style="22" customWidth="1"/>
    <col min="7" max="7" width="36.5703125" style="22" customWidth="1"/>
    <col min="8" max="8" width="17.7109375" style="22" customWidth="1"/>
    <col min="9" max="9" width="11" style="22" hidden="1" customWidth="1"/>
    <col min="10" max="10" width="10.28515625" style="22" customWidth="1"/>
    <col min="11" max="13" width="9.140625" style="22" customWidth="1"/>
    <col min="14" max="14" width="23.7109375" style="22" hidden="1" customWidth="1"/>
    <col min="15" max="16" width="9.140625" style="22" hidden="1" customWidth="1"/>
    <col min="17" max="17" width="16.7109375" style="22" hidden="1" customWidth="1"/>
    <col min="18" max="18" width="11.7109375" style="22" hidden="1" customWidth="1"/>
    <col min="19" max="19" width="16.7109375" style="22" hidden="1" customWidth="1"/>
    <col min="20" max="20" width="18" style="22" hidden="1" customWidth="1"/>
    <col min="21" max="23" width="14.28515625" style="22" hidden="1" customWidth="1"/>
    <col min="24" max="24" width="16.7109375" style="22" hidden="1" customWidth="1"/>
    <col min="25" max="16384" width="9.140625" style="22"/>
  </cols>
  <sheetData>
    <row r="1" spans="1:20" x14ac:dyDescent="0.2">
      <c r="A1" s="1" t="s">
        <v>166</v>
      </c>
      <c r="B1" s="97"/>
      <c r="T1" s="86" t="s">
        <v>190</v>
      </c>
    </row>
    <row r="2" spans="1:20" x14ac:dyDescent="0.2">
      <c r="A2" s="1"/>
      <c r="B2" s="98"/>
      <c r="N2" s="99" t="s">
        <v>12</v>
      </c>
      <c r="O2" s="100">
        <v>4.1100000000000003</v>
      </c>
      <c r="Q2" s="96"/>
      <c r="T2" s="99" t="s">
        <v>178</v>
      </c>
    </row>
    <row r="3" spans="1:20" x14ac:dyDescent="0.2">
      <c r="A3" s="1"/>
      <c r="B3" s="98"/>
      <c r="N3" s="99" t="s">
        <v>13</v>
      </c>
      <c r="O3" s="100">
        <v>4.7</v>
      </c>
      <c r="Q3" s="96"/>
      <c r="T3" s="99" t="s">
        <v>179</v>
      </c>
    </row>
    <row r="4" spans="1:20" x14ac:dyDescent="0.2">
      <c r="A4" s="1"/>
      <c r="B4" s="101"/>
      <c r="C4" s="102"/>
      <c r="D4" s="102"/>
      <c r="N4" s="99" t="s">
        <v>14</v>
      </c>
      <c r="O4" s="100">
        <v>4.83</v>
      </c>
      <c r="Q4" s="96"/>
      <c r="T4" s="103" t="s">
        <v>180</v>
      </c>
    </row>
    <row r="5" spans="1:20" x14ac:dyDescent="0.2">
      <c r="B5" s="101"/>
      <c r="C5" s="104"/>
      <c r="N5" s="99" t="s">
        <v>15</v>
      </c>
      <c r="O5" s="100">
        <v>4.6900000000000004</v>
      </c>
      <c r="Q5" s="96"/>
      <c r="T5" s="103" t="s">
        <v>181</v>
      </c>
    </row>
    <row r="6" spans="1:20" x14ac:dyDescent="0.2">
      <c r="N6" s="99" t="s">
        <v>16</v>
      </c>
      <c r="O6" s="100">
        <v>3.89</v>
      </c>
      <c r="T6" s="103" t="s">
        <v>182</v>
      </c>
    </row>
    <row r="7" spans="1:20" ht="15" customHeight="1" x14ac:dyDescent="0.2">
      <c r="B7" s="105" t="s">
        <v>0</v>
      </c>
      <c r="C7" s="217"/>
      <c r="D7" s="217"/>
      <c r="E7" s="217"/>
      <c r="F7" s="217"/>
      <c r="G7" s="217"/>
      <c r="H7" s="217"/>
      <c r="I7" s="217"/>
      <c r="J7" s="217"/>
      <c r="K7" s="106"/>
      <c r="L7" s="106"/>
      <c r="M7" s="106"/>
      <c r="N7" s="99" t="s">
        <v>17</v>
      </c>
      <c r="O7" s="100">
        <v>4.46</v>
      </c>
      <c r="T7" s="103" t="s">
        <v>183</v>
      </c>
    </row>
    <row r="8" spans="1:20" ht="15" customHeight="1" x14ac:dyDescent="0.2">
      <c r="B8" s="107" t="s">
        <v>1</v>
      </c>
      <c r="C8" s="108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99" t="s">
        <v>18</v>
      </c>
      <c r="O8" s="100">
        <v>4.8499999999999996</v>
      </c>
      <c r="T8" s="103" t="s">
        <v>184</v>
      </c>
    </row>
    <row r="9" spans="1:20" ht="15" hidden="1" customHeight="1" x14ac:dyDescent="0.2">
      <c r="B9" s="105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99" t="s">
        <v>19</v>
      </c>
      <c r="O9" s="100">
        <v>4.8499999999999996</v>
      </c>
      <c r="T9" s="99" t="s">
        <v>185</v>
      </c>
    </row>
    <row r="10" spans="1:20" ht="12.75" hidden="1" customHeight="1" x14ac:dyDescent="0.2">
      <c r="B10" s="111"/>
      <c r="C10" s="112"/>
      <c r="D10" s="113"/>
      <c r="E10" s="113"/>
      <c r="F10" s="113"/>
      <c r="G10" s="113"/>
      <c r="H10" s="114"/>
      <c r="I10" s="114"/>
      <c r="J10" s="114"/>
      <c r="K10" s="114"/>
      <c r="N10" s="99" t="s">
        <v>20</v>
      </c>
      <c r="O10" s="100">
        <v>5.46</v>
      </c>
      <c r="T10" s="99" t="s">
        <v>186</v>
      </c>
    </row>
    <row r="11" spans="1:20" ht="12.75" hidden="1" customHeight="1" x14ac:dyDescent="0.2">
      <c r="B11" s="111"/>
      <c r="C11" s="112"/>
      <c r="D11" s="113"/>
      <c r="E11" s="113"/>
      <c r="F11" s="113"/>
      <c r="G11" s="113"/>
      <c r="H11" s="114"/>
      <c r="I11" s="114"/>
      <c r="J11" s="114"/>
      <c r="K11" s="114"/>
      <c r="N11" s="99" t="s">
        <v>21</v>
      </c>
      <c r="O11" s="100">
        <v>3.29</v>
      </c>
      <c r="T11" s="99" t="s">
        <v>187</v>
      </c>
    </row>
    <row r="12" spans="1:20" ht="28.5" hidden="1" customHeight="1" x14ac:dyDescent="0.2">
      <c r="B12" s="115"/>
      <c r="C12" s="116"/>
      <c r="D12" s="113"/>
      <c r="E12" s="113"/>
      <c r="F12" s="113"/>
      <c r="G12" s="113"/>
      <c r="H12" s="114"/>
      <c r="I12" s="114"/>
      <c r="J12" s="114"/>
      <c r="K12" s="114"/>
      <c r="N12" s="99" t="s">
        <v>22</v>
      </c>
      <c r="O12" s="100">
        <v>3.46</v>
      </c>
      <c r="T12" s="99" t="s">
        <v>188</v>
      </c>
    </row>
    <row r="13" spans="1:20" x14ac:dyDescent="0.2">
      <c r="B13" s="117"/>
      <c r="C13" s="118"/>
      <c r="N13" s="99" t="s">
        <v>23</v>
      </c>
      <c r="O13" s="100">
        <v>3.29</v>
      </c>
      <c r="T13" s="103" t="s">
        <v>189</v>
      </c>
    </row>
    <row r="14" spans="1:20" x14ac:dyDescent="0.2">
      <c r="N14" s="99" t="s">
        <v>24</v>
      </c>
      <c r="O14" s="100">
        <v>7.41</v>
      </c>
    </row>
    <row r="15" spans="1:20" x14ac:dyDescent="0.2">
      <c r="H15" s="119"/>
      <c r="I15" s="119"/>
      <c r="K15" s="119"/>
      <c r="L15" s="119"/>
      <c r="M15" s="119"/>
      <c r="N15" s="99" t="s">
        <v>25</v>
      </c>
      <c r="O15" s="100">
        <v>4.87</v>
      </c>
    </row>
    <row r="16" spans="1:20" ht="25.5" x14ac:dyDescent="0.2">
      <c r="A16" s="120" t="s">
        <v>5</v>
      </c>
      <c r="B16" s="218" t="s">
        <v>62</v>
      </c>
      <c r="C16" s="218"/>
      <c r="D16" s="218"/>
      <c r="E16" s="218"/>
      <c r="F16" s="121" t="s">
        <v>63</v>
      </c>
      <c r="G16" s="122" t="s">
        <v>64</v>
      </c>
      <c r="H16" s="123"/>
      <c r="I16" s="124" t="s">
        <v>163</v>
      </c>
      <c r="J16" s="125" t="s">
        <v>223</v>
      </c>
      <c r="N16" s="99" t="s">
        <v>26</v>
      </c>
      <c r="O16" s="100">
        <v>3.51</v>
      </c>
    </row>
    <row r="17" spans="1:24" ht="24.95" customHeight="1" x14ac:dyDescent="0.2">
      <c r="A17" s="190" t="s">
        <v>68</v>
      </c>
      <c r="B17" s="205" t="s">
        <v>191</v>
      </c>
      <c r="C17" s="206"/>
      <c r="D17" s="206"/>
      <c r="E17" s="207"/>
      <c r="F17" s="126"/>
      <c r="G17" s="199" t="s">
        <v>66</v>
      </c>
      <c r="H17" s="127" t="s">
        <v>65</v>
      </c>
      <c r="I17" s="214"/>
      <c r="J17" s="219">
        <f>IF(H18="VÝHRADNE najmenej rozvinutý okres",28,IF(H18&lt;=13.5,12,IF(H18&gt;13.5,18,"")))</f>
        <v>12</v>
      </c>
      <c r="N17" s="99" t="s">
        <v>27</v>
      </c>
      <c r="O17" s="100">
        <v>6.09</v>
      </c>
    </row>
    <row r="18" spans="1:24" ht="24.95" customHeight="1" x14ac:dyDescent="0.2">
      <c r="A18" s="191"/>
      <c r="B18" s="211" t="s">
        <v>192</v>
      </c>
      <c r="C18" s="212"/>
      <c r="D18" s="212"/>
      <c r="E18" s="213"/>
      <c r="F18" s="128">
        <v>12</v>
      </c>
      <c r="G18" s="200"/>
      <c r="H18" s="202">
        <f>IF(Nezamestanosť!M26="najmenej rozvinutý okres","VÝHRADNE najmenej rozvinutý okres",TRANSPOSE(Nezamestanosť!E44))</f>
        <v>0</v>
      </c>
      <c r="I18" s="215"/>
      <c r="J18" s="220"/>
      <c r="N18" s="99" t="s">
        <v>28</v>
      </c>
      <c r="O18" s="100">
        <v>4.87</v>
      </c>
    </row>
    <row r="19" spans="1:24" ht="24.95" customHeight="1" x14ac:dyDescent="0.2">
      <c r="A19" s="191"/>
      <c r="B19" s="211" t="s">
        <v>193</v>
      </c>
      <c r="C19" s="212"/>
      <c r="D19" s="212"/>
      <c r="E19" s="213"/>
      <c r="F19" s="128">
        <v>18</v>
      </c>
      <c r="G19" s="200"/>
      <c r="H19" s="203"/>
      <c r="I19" s="216"/>
      <c r="J19" s="220"/>
      <c r="N19" s="99" t="s">
        <v>29</v>
      </c>
      <c r="O19" s="100">
        <v>4.5199999999999996</v>
      </c>
    </row>
    <row r="20" spans="1:24" ht="24.95" customHeight="1" x14ac:dyDescent="0.2">
      <c r="A20" s="192"/>
      <c r="B20" s="208" t="s">
        <v>194</v>
      </c>
      <c r="C20" s="209"/>
      <c r="D20" s="209"/>
      <c r="E20" s="210"/>
      <c r="F20" s="129">
        <v>28</v>
      </c>
      <c r="G20" s="201"/>
      <c r="H20" s="204"/>
      <c r="I20" s="130"/>
      <c r="J20" s="221"/>
      <c r="N20" s="99" t="s">
        <v>30</v>
      </c>
      <c r="O20" s="100">
        <v>4.75</v>
      </c>
      <c r="Q20" s="131">
        <v>1</v>
      </c>
      <c r="R20" s="131">
        <f>IF(Q20=1,10,IF(Q20=2,0,""))</f>
        <v>10</v>
      </c>
      <c r="S20" s="29"/>
      <c r="T20" s="29"/>
      <c r="U20" s="29"/>
      <c r="V20" s="29"/>
      <c r="W20" s="29"/>
      <c r="X20" s="29"/>
    </row>
    <row r="21" spans="1:24" ht="49.5" hidden="1" customHeight="1" x14ac:dyDescent="0.2">
      <c r="A21" s="132"/>
      <c r="B21" s="196"/>
      <c r="C21" s="197"/>
      <c r="D21" s="197"/>
      <c r="E21" s="198"/>
      <c r="F21" s="133"/>
      <c r="G21" s="134"/>
      <c r="H21" s="135"/>
      <c r="I21" s="136"/>
      <c r="J21" s="137"/>
      <c r="N21" s="99" t="s">
        <v>31</v>
      </c>
      <c r="O21" s="100">
        <v>6.54</v>
      </c>
      <c r="Q21" s="131" t="s">
        <v>73</v>
      </c>
      <c r="R21" s="138" t="s">
        <v>123</v>
      </c>
      <c r="S21" s="139" t="s">
        <v>76</v>
      </c>
      <c r="T21" s="139" t="s">
        <v>77</v>
      </c>
      <c r="U21" s="139" t="s">
        <v>78</v>
      </c>
      <c r="V21" s="139"/>
      <c r="W21" s="139"/>
      <c r="X21" s="140"/>
    </row>
    <row r="22" spans="1:24" ht="24.95" customHeight="1" x14ac:dyDescent="0.2">
      <c r="A22" s="190" t="s">
        <v>69</v>
      </c>
      <c r="B22" s="231" t="s">
        <v>67</v>
      </c>
      <c r="C22" s="232"/>
      <c r="D22" s="232"/>
      <c r="E22" s="233"/>
      <c r="F22" s="141"/>
      <c r="G22" s="199" t="s">
        <v>197</v>
      </c>
      <c r="H22" s="142" t="s">
        <v>79</v>
      </c>
      <c r="I22" s="214"/>
      <c r="J22" s="193" t="str">
        <f>TRANSPOSE(X22)</f>
        <v/>
      </c>
      <c r="N22" s="99" t="s">
        <v>32</v>
      </c>
      <c r="O22" s="100">
        <v>6.42</v>
      </c>
      <c r="P22" s="22">
        <v>14</v>
      </c>
      <c r="Q22" s="131" t="s">
        <v>75</v>
      </c>
      <c r="R22" s="143">
        <f>TRANSPOSE('štandardný výstup'!J56)</f>
        <v>0</v>
      </c>
      <c r="S22" s="143">
        <f>TRANSPOSE('štandardný výstup'!J55)</f>
        <v>0</v>
      </c>
      <c r="T22" s="144">
        <f>IF(OR(R22&lt;4000,R22&lt;'štandardný výstup'!G56),0,S22/R22)</f>
        <v>0</v>
      </c>
      <c r="U22" s="144">
        <f>IFERROR(T22,0)</f>
        <v>0</v>
      </c>
      <c r="V22" s="144">
        <f>IF(U22&gt;=0.6,0.6,U22)</f>
        <v>0</v>
      </c>
      <c r="W22" s="144">
        <f>V22</f>
        <v>0</v>
      </c>
      <c r="X22" s="131" t="str">
        <f>IF('štandardný výstup'!B61="nie sú vyplnené hodnoty podľa podnikateľského plánu","",IF('štandardný výstup'!B60="nedosiahnutie minimálneho štandardného výstupu - nesplnenie podmienok","",IF('štandardný výstup'!B60="štandardný výstup prekročený - nesplnenie podmienok","",IF('štandardný výstup'!B60="nie sú vyplnené hodnoty v čase predloženia ŽoNFP","",IF('štandardný výstup'!B61="nedosiahnutie minimálnej hodnoty štandardného výstupu v čase predloženia ŽoNFP","",IF(R22&lt;4000,0,IF(R22&lt;'štandardný výstup'!G56,0,IF(AND(SUM(U22:U23)&gt;0,SUM(U22:U23)&lt;0.6),0,IF(W22&gt;=0.6,14,IF(W23&gt;=0.6,12,IF(AND(U22=0,U23=0),0,SUMPRODUCT(P22:P23,W22:W23)/SUM(W22:W23))))))))))))</f>
        <v/>
      </c>
    </row>
    <row r="23" spans="1:24" ht="24.95" customHeight="1" x14ac:dyDescent="0.2">
      <c r="A23" s="191"/>
      <c r="B23" s="226" t="s">
        <v>195</v>
      </c>
      <c r="C23" s="227"/>
      <c r="D23" s="227"/>
      <c r="E23" s="228"/>
      <c r="F23" s="128">
        <v>14</v>
      </c>
      <c r="G23" s="200"/>
      <c r="H23" s="145">
        <f>TRANSPOSE(W22)</f>
        <v>0</v>
      </c>
      <c r="I23" s="215"/>
      <c r="J23" s="194"/>
      <c r="N23" s="99" t="s">
        <v>33</v>
      </c>
      <c r="O23" s="100">
        <v>8.1300000000000008</v>
      </c>
      <c r="P23" s="22">
        <v>12</v>
      </c>
      <c r="Q23" s="131" t="s">
        <v>74</v>
      </c>
      <c r="R23" s="144"/>
      <c r="S23" s="143">
        <f>TRANSPOSE('štandardný výstup'!J54)</f>
        <v>0</v>
      </c>
      <c r="T23" s="144">
        <f>IF(OR(R22&lt;4000,R22&lt;'štandardný výstup'!G56),0,S23/R22)</f>
        <v>0</v>
      </c>
      <c r="U23" s="144">
        <f>IFERROR(T23,0)</f>
        <v>0</v>
      </c>
      <c r="V23" s="144">
        <f>IF(U23&gt;=0.6,0.6,U23)</f>
        <v>0</v>
      </c>
      <c r="W23" s="144">
        <f>IF(V22+V23&lt;=0.6,V23,V23-(V22+V23-0.6))</f>
        <v>0</v>
      </c>
      <c r="X23" s="146" t="e">
        <f>((P22*W22)+(P23*W23))/SUM(W22:W23)</f>
        <v>#DIV/0!</v>
      </c>
    </row>
    <row r="24" spans="1:24" ht="24.95" customHeight="1" x14ac:dyDescent="0.2">
      <c r="A24" s="192"/>
      <c r="B24" s="208" t="s">
        <v>196</v>
      </c>
      <c r="C24" s="209"/>
      <c r="D24" s="209"/>
      <c r="E24" s="210"/>
      <c r="F24" s="129">
        <v>12</v>
      </c>
      <c r="G24" s="201"/>
      <c r="H24" s="147">
        <f>TRANSPOSE(W23)</f>
        <v>0</v>
      </c>
      <c r="I24" s="216"/>
      <c r="J24" s="195"/>
      <c r="N24" s="99" t="s">
        <v>34</v>
      </c>
      <c r="O24" s="100">
        <v>4.43</v>
      </c>
      <c r="Q24" s="29"/>
      <c r="R24" s="29"/>
      <c r="S24" s="148" t="e">
        <f>S22/R22</f>
        <v>#DIV/0!</v>
      </c>
      <c r="T24" s="29"/>
      <c r="U24" s="29"/>
      <c r="V24" s="29"/>
      <c r="W24" s="29"/>
      <c r="X24" s="29"/>
    </row>
    <row r="25" spans="1:24" hidden="1" x14ac:dyDescent="0.2">
      <c r="A25" s="190"/>
      <c r="B25" s="239"/>
      <c r="C25" s="240"/>
      <c r="D25" s="240"/>
      <c r="E25" s="241"/>
      <c r="F25" s="245"/>
      <c r="G25" s="222"/>
      <c r="H25" s="135"/>
      <c r="I25" s="229"/>
      <c r="J25" s="224"/>
      <c r="N25" s="99" t="s">
        <v>35</v>
      </c>
      <c r="O25" s="100">
        <v>4.46</v>
      </c>
      <c r="Q25" s="29"/>
      <c r="R25" s="29"/>
      <c r="S25" s="29"/>
      <c r="T25" s="29"/>
      <c r="U25" s="29"/>
      <c r="V25" s="29"/>
      <c r="W25" s="29"/>
      <c r="X25" s="29"/>
    </row>
    <row r="26" spans="1:24" ht="24.75" hidden="1" customHeight="1" x14ac:dyDescent="0.2">
      <c r="A26" s="192"/>
      <c r="B26" s="242"/>
      <c r="C26" s="243"/>
      <c r="D26" s="243"/>
      <c r="E26" s="244"/>
      <c r="F26" s="246"/>
      <c r="G26" s="223"/>
      <c r="H26" s="149"/>
      <c r="I26" s="230"/>
      <c r="J26" s="225"/>
      <c r="N26" s="99" t="s">
        <v>36</v>
      </c>
      <c r="O26" s="100">
        <v>9.11</v>
      </c>
      <c r="Q26" s="29"/>
      <c r="R26" s="29"/>
      <c r="S26" s="29"/>
      <c r="T26" s="29"/>
      <c r="U26" s="29"/>
      <c r="V26" s="29"/>
      <c r="W26" s="29"/>
      <c r="X26" s="29"/>
    </row>
    <row r="27" spans="1:24" ht="27" customHeight="1" x14ac:dyDescent="0.2">
      <c r="A27" s="190" t="s">
        <v>70</v>
      </c>
      <c r="B27" s="231" t="s">
        <v>198</v>
      </c>
      <c r="C27" s="232"/>
      <c r="D27" s="232"/>
      <c r="E27" s="233"/>
      <c r="F27" s="141"/>
      <c r="G27" s="199" t="s">
        <v>204</v>
      </c>
      <c r="H27" s="150"/>
      <c r="I27" s="151"/>
      <c r="J27" s="219" t="str">
        <f>TRANSPOSE(R27)</f>
        <v/>
      </c>
      <c r="N27" s="99" t="s">
        <v>37</v>
      </c>
      <c r="O27" s="100">
        <v>8.6300000000000008</v>
      </c>
      <c r="Q27" s="131">
        <v>0</v>
      </c>
      <c r="R27" s="131" t="str">
        <f>IF(Q27=1,8,IF(Q27=2,5,IF(Q27=3,3,IF(Q27=4,2,IF(Q27=5,1,"")))))</f>
        <v/>
      </c>
      <c r="S27" s="29"/>
      <c r="T27" s="29"/>
      <c r="U27" s="29"/>
      <c r="V27" s="29"/>
      <c r="W27" s="29"/>
      <c r="X27" s="29"/>
    </row>
    <row r="28" spans="1:24" ht="24.95" customHeight="1" x14ac:dyDescent="0.2">
      <c r="A28" s="191"/>
      <c r="B28" s="236" t="s">
        <v>199</v>
      </c>
      <c r="C28" s="237"/>
      <c r="D28" s="237"/>
      <c r="E28" s="238"/>
      <c r="F28" s="128">
        <v>8</v>
      </c>
      <c r="G28" s="200"/>
      <c r="H28" s="152"/>
      <c r="I28" s="153"/>
      <c r="J28" s="220"/>
      <c r="K28" s="39"/>
      <c r="N28" s="99" t="s">
        <v>38</v>
      </c>
      <c r="O28" s="100">
        <v>5.22</v>
      </c>
      <c r="Q28" s="29"/>
      <c r="R28" s="29"/>
      <c r="S28" s="29"/>
      <c r="T28" s="29"/>
      <c r="U28" s="29"/>
      <c r="V28" s="29"/>
      <c r="W28" s="29"/>
      <c r="X28" s="29"/>
    </row>
    <row r="29" spans="1:24" ht="24.95" customHeight="1" x14ac:dyDescent="0.2">
      <c r="A29" s="191"/>
      <c r="B29" s="236" t="s">
        <v>200</v>
      </c>
      <c r="C29" s="237"/>
      <c r="D29" s="237"/>
      <c r="E29" s="238"/>
      <c r="F29" s="128">
        <v>5</v>
      </c>
      <c r="G29" s="200"/>
      <c r="H29" s="152"/>
      <c r="I29" s="153"/>
      <c r="J29" s="220"/>
      <c r="N29" s="99" t="s">
        <v>39</v>
      </c>
      <c r="O29" s="100">
        <v>6.96</v>
      </c>
      <c r="Q29" s="29"/>
      <c r="R29" s="29"/>
      <c r="S29" s="29"/>
      <c r="T29" s="29"/>
      <c r="U29" s="29"/>
      <c r="V29" s="29"/>
      <c r="W29" s="29"/>
      <c r="X29" s="29"/>
    </row>
    <row r="30" spans="1:24" ht="24.95" customHeight="1" x14ac:dyDescent="0.2">
      <c r="A30" s="191"/>
      <c r="B30" s="236" t="s">
        <v>201</v>
      </c>
      <c r="C30" s="237"/>
      <c r="D30" s="237"/>
      <c r="E30" s="238"/>
      <c r="F30" s="128">
        <v>3</v>
      </c>
      <c r="G30" s="200"/>
      <c r="H30" s="152"/>
      <c r="I30" s="153"/>
      <c r="J30" s="220"/>
      <c r="N30" s="99" t="s">
        <v>40</v>
      </c>
      <c r="O30" s="100">
        <v>5.36</v>
      </c>
      <c r="Q30" s="29"/>
      <c r="R30" s="29"/>
      <c r="S30" s="29"/>
      <c r="T30" s="29"/>
      <c r="U30" s="29"/>
      <c r="V30" s="29"/>
      <c r="W30" s="29"/>
      <c r="X30" s="29"/>
    </row>
    <row r="31" spans="1:24" ht="24.95" customHeight="1" x14ac:dyDescent="0.2">
      <c r="A31" s="191"/>
      <c r="B31" s="236" t="s">
        <v>202</v>
      </c>
      <c r="C31" s="237"/>
      <c r="D31" s="237"/>
      <c r="E31" s="238"/>
      <c r="F31" s="128">
        <v>2</v>
      </c>
      <c r="G31" s="200"/>
      <c r="H31" s="152"/>
      <c r="I31" s="153"/>
      <c r="J31" s="220"/>
      <c r="N31" s="99" t="s">
        <v>41</v>
      </c>
      <c r="O31" s="100">
        <v>7.1</v>
      </c>
      <c r="Q31" s="29"/>
      <c r="R31" s="29"/>
      <c r="S31" s="29"/>
      <c r="T31" s="29"/>
      <c r="U31" s="29"/>
      <c r="V31" s="29"/>
      <c r="W31" s="29"/>
      <c r="X31" s="29"/>
    </row>
    <row r="32" spans="1:24" ht="24.95" customHeight="1" x14ac:dyDescent="0.2">
      <c r="A32" s="192"/>
      <c r="B32" s="236" t="s">
        <v>203</v>
      </c>
      <c r="C32" s="237"/>
      <c r="D32" s="237"/>
      <c r="E32" s="238"/>
      <c r="F32" s="129">
        <v>1</v>
      </c>
      <c r="G32" s="201"/>
      <c r="H32" s="154"/>
      <c r="I32" s="155"/>
      <c r="J32" s="221"/>
      <c r="N32" s="99" t="s">
        <v>42</v>
      </c>
      <c r="O32" s="100">
        <v>5.65</v>
      </c>
      <c r="Q32" s="29"/>
      <c r="R32" s="29"/>
      <c r="S32" s="29"/>
      <c r="T32" s="29"/>
      <c r="U32" s="29"/>
      <c r="V32" s="29"/>
      <c r="W32" s="29"/>
      <c r="X32" s="29"/>
    </row>
    <row r="33" spans="1:24" ht="48" customHeight="1" x14ac:dyDescent="0.2">
      <c r="A33" s="247" t="s">
        <v>71</v>
      </c>
      <c r="B33" s="231" t="s">
        <v>205</v>
      </c>
      <c r="C33" s="232"/>
      <c r="D33" s="232"/>
      <c r="E33" s="233"/>
      <c r="F33" s="141"/>
      <c r="G33" s="199" t="s">
        <v>207</v>
      </c>
      <c r="H33" s="142" t="s">
        <v>122</v>
      </c>
      <c r="I33" s="156"/>
      <c r="J33" s="219" t="str">
        <f>IF(H34="","",IF(H34&gt;2,8,IF(H34=2,2,IF(H34=1,1,IF(H34=0,0,"")))))</f>
        <v/>
      </c>
      <c r="N33" s="99" t="s">
        <v>43</v>
      </c>
      <c r="O33" s="100">
        <v>8.76</v>
      </c>
      <c r="Q33" s="29"/>
      <c r="R33" s="29"/>
      <c r="S33" s="29"/>
      <c r="T33" s="29"/>
      <c r="U33" s="29"/>
      <c r="V33" s="29"/>
      <c r="W33" s="29"/>
      <c r="X33" s="29"/>
    </row>
    <row r="34" spans="1:24" ht="21.95" customHeight="1" x14ac:dyDescent="0.2">
      <c r="A34" s="248"/>
      <c r="B34" s="236" t="s">
        <v>206</v>
      </c>
      <c r="C34" s="237"/>
      <c r="D34" s="237"/>
      <c r="E34" s="238"/>
      <c r="F34" s="128">
        <v>8</v>
      </c>
      <c r="G34" s="200"/>
      <c r="H34" s="234"/>
      <c r="I34" s="157"/>
      <c r="J34" s="220"/>
      <c r="N34" s="99" t="s">
        <v>44</v>
      </c>
      <c r="O34" s="100">
        <v>7.17</v>
      </c>
      <c r="Q34" s="158">
        <v>0</v>
      </c>
      <c r="R34" s="158"/>
      <c r="S34" s="29"/>
      <c r="T34" s="29"/>
      <c r="U34" s="29"/>
      <c r="V34" s="29"/>
      <c r="W34" s="29"/>
      <c r="X34" s="29"/>
    </row>
    <row r="35" spans="1:24" ht="21.95" customHeight="1" x14ac:dyDescent="0.2">
      <c r="A35" s="248"/>
      <c r="B35" s="236" t="s">
        <v>164</v>
      </c>
      <c r="C35" s="237"/>
      <c r="D35" s="237"/>
      <c r="E35" s="238"/>
      <c r="F35" s="128">
        <v>2</v>
      </c>
      <c r="G35" s="200"/>
      <c r="H35" s="235"/>
      <c r="I35" s="157"/>
      <c r="J35" s="220"/>
      <c r="K35" s="39"/>
      <c r="N35" s="99" t="s">
        <v>45</v>
      </c>
      <c r="O35" s="100">
        <v>8.6</v>
      </c>
      <c r="Q35" s="158"/>
      <c r="R35" s="158"/>
      <c r="S35" s="29"/>
      <c r="T35" s="29"/>
      <c r="U35" s="29"/>
      <c r="V35" s="29"/>
      <c r="W35" s="29"/>
      <c r="X35" s="29"/>
    </row>
    <row r="36" spans="1:24" ht="21.95" customHeight="1" x14ac:dyDescent="0.2">
      <c r="A36" s="249"/>
      <c r="B36" s="208" t="s">
        <v>165</v>
      </c>
      <c r="C36" s="209"/>
      <c r="D36" s="209"/>
      <c r="E36" s="210"/>
      <c r="F36" s="129">
        <v>1</v>
      </c>
      <c r="G36" s="201"/>
      <c r="H36" s="235"/>
      <c r="I36" s="159"/>
      <c r="J36" s="221"/>
      <c r="N36" s="99" t="s">
        <v>46</v>
      </c>
      <c r="O36" s="100">
        <v>7.88</v>
      </c>
      <c r="Q36" s="158"/>
      <c r="R36" s="158"/>
      <c r="S36" s="29"/>
      <c r="T36" s="29"/>
      <c r="U36" s="29"/>
      <c r="V36" s="29"/>
      <c r="W36" s="29"/>
      <c r="X36" s="29"/>
    </row>
    <row r="37" spans="1:24" ht="27" customHeight="1" x14ac:dyDescent="0.2">
      <c r="A37" s="190" t="s">
        <v>72</v>
      </c>
      <c r="B37" s="231" t="s">
        <v>208</v>
      </c>
      <c r="C37" s="232"/>
      <c r="D37" s="232"/>
      <c r="E37" s="233"/>
      <c r="F37" s="247">
        <v>8</v>
      </c>
      <c r="G37" s="251" t="s">
        <v>209</v>
      </c>
      <c r="H37" s="160"/>
      <c r="I37" s="161"/>
      <c r="J37" s="219" t="str">
        <f>TRANSPOSE(R39)</f>
        <v/>
      </c>
      <c r="N37" s="99" t="s">
        <v>47</v>
      </c>
      <c r="O37" s="100">
        <v>8.25</v>
      </c>
    </row>
    <row r="38" spans="1:24" ht="27" customHeight="1" x14ac:dyDescent="0.2">
      <c r="A38" s="191"/>
      <c r="B38" s="236"/>
      <c r="C38" s="237"/>
      <c r="D38" s="237"/>
      <c r="E38" s="238"/>
      <c r="F38" s="248"/>
      <c r="G38" s="252"/>
      <c r="H38" s="162"/>
      <c r="I38" s="161"/>
      <c r="J38" s="220"/>
      <c r="N38" s="99" t="s">
        <v>48</v>
      </c>
      <c r="O38" s="100">
        <v>4.71</v>
      </c>
    </row>
    <row r="39" spans="1:24" ht="27" customHeight="1" x14ac:dyDescent="0.2">
      <c r="A39" s="191"/>
      <c r="B39" s="236"/>
      <c r="C39" s="237"/>
      <c r="D39" s="237"/>
      <c r="E39" s="238"/>
      <c r="F39" s="248"/>
      <c r="G39" s="252"/>
      <c r="H39" s="162"/>
      <c r="I39" s="161"/>
      <c r="J39" s="220"/>
      <c r="N39" s="99" t="s">
        <v>49</v>
      </c>
      <c r="O39" s="100">
        <v>6.39</v>
      </c>
      <c r="Q39" s="163">
        <v>0</v>
      </c>
      <c r="R39" s="164" t="str">
        <f>IF(Q39=0,"",IF(Q39="","",IF(OR(Q39=1,Q39=2,Q39=3,Q39=5),8,IF(Q39=4,0,""))))</f>
        <v/>
      </c>
    </row>
    <row r="40" spans="1:24" ht="88.5" customHeight="1" x14ac:dyDescent="0.2">
      <c r="A40" s="192"/>
      <c r="B40" s="236"/>
      <c r="C40" s="237"/>
      <c r="D40" s="237"/>
      <c r="E40" s="238"/>
      <c r="F40" s="248"/>
      <c r="G40" s="253"/>
      <c r="H40" s="162"/>
      <c r="I40" s="161"/>
      <c r="J40" s="221"/>
      <c r="N40" s="99" t="s">
        <v>50</v>
      </c>
      <c r="O40" s="100">
        <v>8.76</v>
      </c>
    </row>
    <row r="41" spans="1:24" s="166" customFormat="1" ht="27" customHeight="1" x14ac:dyDescent="0.2">
      <c r="A41" s="247" t="s">
        <v>213</v>
      </c>
      <c r="B41" s="231" t="s">
        <v>210</v>
      </c>
      <c r="C41" s="232"/>
      <c r="D41" s="232"/>
      <c r="E41" s="232"/>
      <c r="F41" s="141"/>
      <c r="G41" s="251" t="s">
        <v>214</v>
      </c>
      <c r="H41" s="165"/>
      <c r="I41" s="161"/>
      <c r="J41" s="265" t="str">
        <f>TRANSPOSE(R42)</f>
        <v/>
      </c>
      <c r="N41" s="167" t="s">
        <v>51</v>
      </c>
      <c r="O41" s="168">
        <v>6.95</v>
      </c>
    </row>
    <row r="42" spans="1:24" ht="21.95" customHeight="1" x14ac:dyDescent="0.2">
      <c r="A42" s="248"/>
      <c r="B42" s="236" t="s">
        <v>211</v>
      </c>
      <c r="C42" s="237"/>
      <c r="D42" s="237"/>
      <c r="E42" s="237"/>
      <c r="F42" s="128">
        <v>7</v>
      </c>
      <c r="G42" s="252"/>
      <c r="H42" s="169"/>
      <c r="I42" s="161"/>
      <c r="J42" s="266"/>
      <c r="N42" s="99" t="s">
        <v>52</v>
      </c>
      <c r="O42" s="100">
        <v>6.78</v>
      </c>
      <c r="Q42" s="163">
        <v>0</v>
      </c>
      <c r="R42" s="164" t="str">
        <f>IF(Q42="","",IF(Q42=0,"",IF(Q42=1,7,IF(Q42=2,5,IF(Q42=3,0,"")))))</f>
        <v/>
      </c>
    </row>
    <row r="43" spans="1:24" ht="21.95" customHeight="1" x14ac:dyDescent="0.2">
      <c r="A43" s="248"/>
      <c r="B43" s="236" t="s">
        <v>212</v>
      </c>
      <c r="C43" s="237"/>
      <c r="D43" s="237"/>
      <c r="E43" s="237"/>
      <c r="F43" s="128">
        <v>5</v>
      </c>
      <c r="G43" s="252"/>
      <c r="H43" s="169"/>
      <c r="I43" s="161"/>
      <c r="J43" s="266"/>
      <c r="N43" s="99" t="s">
        <v>53</v>
      </c>
      <c r="O43" s="100">
        <v>6.08</v>
      </c>
    </row>
    <row r="44" spans="1:24" ht="21.95" customHeight="1" x14ac:dyDescent="0.2">
      <c r="A44" s="249"/>
      <c r="B44" s="208"/>
      <c r="C44" s="209"/>
      <c r="D44" s="209"/>
      <c r="E44" s="209"/>
      <c r="F44" s="129"/>
      <c r="G44" s="253"/>
      <c r="H44" s="170"/>
      <c r="I44" s="161"/>
      <c r="J44" s="267"/>
      <c r="N44" s="99" t="s">
        <v>54</v>
      </c>
      <c r="O44" s="100">
        <v>6.25</v>
      </c>
    </row>
    <row r="45" spans="1:24" ht="27" customHeight="1" x14ac:dyDescent="0.2">
      <c r="A45" s="96" t="s">
        <v>216</v>
      </c>
      <c r="B45" s="254" t="s">
        <v>215</v>
      </c>
      <c r="C45" s="255"/>
      <c r="D45" s="255"/>
      <c r="E45" s="256"/>
      <c r="F45" s="129">
        <v>12</v>
      </c>
      <c r="G45" s="171" t="s">
        <v>218</v>
      </c>
      <c r="H45" s="172"/>
      <c r="I45" s="161"/>
      <c r="J45" s="173" t="str">
        <f>IF('štandardný výstup'!J56=0,"",IF(OR('štandardný výstup'!B60="nedosiahnutie minimálneho štandardného výstupu - nesplnenie podmienok",'štandardný výstup'!B61="nedosiahnutie minimálnej hodnoty štandardného výstupu"),"",IF('štandardný výstup'!L53='štandardný výstup'!J56,12,0)))</f>
        <v/>
      </c>
      <c r="N45" s="99" t="s">
        <v>55</v>
      </c>
      <c r="O45" s="100">
        <v>13.21</v>
      </c>
    </row>
    <row r="46" spans="1:24" ht="92.25" customHeight="1" x14ac:dyDescent="0.2">
      <c r="A46" s="96" t="s">
        <v>217</v>
      </c>
      <c r="B46" s="236" t="s">
        <v>224</v>
      </c>
      <c r="C46" s="237"/>
      <c r="D46" s="237"/>
      <c r="E46" s="238"/>
      <c r="F46" s="174">
        <v>15</v>
      </c>
      <c r="G46" s="175" t="s">
        <v>219</v>
      </c>
      <c r="H46" s="176"/>
      <c r="I46" s="161"/>
      <c r="J46" s="173" t="str">
        <f>TRANSPOSE(R46)</f>
        <v/>
      </c>
      <c r="N46" s="99" t="s">
        <v>56</v>
      </c>
      <c r="O46" s="100">
        <v>9.84</v>
      </c>
      <c r="Q46" s="163">
        <v>0</v>
      </c>
      <c r="R46" s="164" t="str">
        <f>IF(Q46="","",IF(Q46=0,"",IF(OR(Q46=1,Q46=3),15,IF(Q46=2,0,""))))</f>
        <v/>
      </c>
    </row>
    <row r="47" spans="1:24" hidden="1" x14ac:dyDescent="0.2">
      <c r="A47" s="96"/>
      <c r="B47" s="255"/>
      <c r="C47" s="255"/>
      <c r="D47" s="255"/>
      <c r="E47" s="255"/>
      <c r="F47" s="174"/>
      <c r="G47" s="177"/>
      <c r="H47" s="123"/>
      <c r="I47" s="178"/>
      <c r="J47" s="179"/>
      <c r="N47" s="99" t="s">
        <v>57</v>
      </c>
      <c r="O47" s="100">
        <v>11.22</v>
      </c>
    </row>
    <row r="48" spans="1:24" hidden="1" x14ac:dyDescent="0.2">
      <c r="A48" s="96"/>
      <c r="B48" s="254"/>
      <c r="C48" s="255"/>
      <c r="D48" s="255"/>
      <c r="E48" s="256"/>
      <c r="F48" s="174"/>
      <c r="G48" s="171"/>
      <c r="H48" s="123"/>
      <c r="I48" s="180"/>
      <c r="J48" s="181"/>
      <c r="N48" s="99" t="s">
        <v>58</v>
      </c>
      <c r="O48" s="100">
        <v>9.5500000000000007</v>
      </c>
    </row>
    <row r="49" spans="1:15" x14ac:dyDescent="0.2">
      <c r="A49" s="257" t="s">
        <v>80</v>
      </c>
      <c r="B49" s="258"/>
      <c r="C49" s="258"/>
      <c r="D49" s="258"/>
      <c r="E49" s="258"/>
      <c r="F49" s="258"/>
      <c r="G49" s="259"/>
      <c r="H49" s="182"/>
      <c r="I49" s="183">
        <f>SUM(I17:I48)</f>
        <v>0</v>
      </c>
      <c r="J49" s="183">
        <f>SUM(J17:J48)</f>
        <v>12</v>
      </c>
      <c r="N49" s="103" t="s">
        <v>59</v>
      </c>
      <c r="O49" s="100">
        <v>15.26</v>
      </c>
    </row>
    <row r="50" spans="1:15" x14ac:dyDescent="0.2">
      <c r="A50" s="184"/>
      <c r="B50" s="184"/>
      <c r="C50" s="184"/>
      <c r="D50" s="184"/>
      <c r="E50" s="184"/>
      <c r="F50" s="184"/>
      <c r="G50" s="184"/>
      <c r="H50" s="185"/>
      <c r="I50" s="185"/>
      <c r="J50" s="186"/>
      <c r="N50" s="103" t="s">
        <v>60</v>
      </c>
      <c r="O50" s="100">
        <v>17.510000000000002</v>
      </c>
    </row>
    <row r="51" spans="1:15" x14ac:dyDescent="0.2">
      <c r="A51" s="184"/>
      <c r="B51" s="119" t="s">
        <v>81</v>
      </c>
      <c r="C51" s="119"/>
      <c r="D51" s="119"/>
      <c r="E51" s="119"/>
      <c r="F51" s="119"/>
      <c r="G51" s="184"/>
      <c r="H51" s="185"/>
      <c r="I51" s="185"/>
      <c r="J51" s="186"/>
      <c r="N51" s="103" t="s">
        <v>61</v>
      </c>
      <c r="O51" s="100">
        <v>22.6</v>
      </c>
    </row>
    <row r="52" spans="1:15" x14ac:dyDescent="0.2">
      <c r="A52" s="184"/>
      <c r="B52" s="119"/>
      <c r="C52" s="119"/>
      <c r="D52" s="119"/>
      <c r="E52" s="119"/>
      <c r="F52" s="119"/>
      <c r="G52" s="184"/>
      <c r="H52" s="185"/>
      <c r="I52" s="185"/>
      <c r="J52" s="186"/>
      <c r="K52" s="94"/>
      <c r="L52" s="94"/>
      <c r="M52" s="94"/>
      <c r="N52" s="103" t="s">
        <v>225</v>
      </c>
      <c r="O52" s="100">
        <v>24.58</v>
      </c>
    </row>
    <row r="53" spans="1:15" x14ac:dyDescent="0.2">
      <c r="A53" s="184"/>
      <c r="B53" s="260" t="str">
        <f>IF(H18=0,"nie je vyplnený hárok nezamestnanosť","")</f>
        <v>nie je vyplnený hárok nezamestnanosť</v>
      </c>
      <c r="C53" s="260"/>
      <c r="D53" s="260"/>
      <c r="E53" s="260"/>
      <c r="F53" s="260"/>
      <c r="G53" s="260"/>
      <c r="H53" s="185"/>
      <c r="I53" s="185"/>
      <c r="J53" s="186"/>
      <c r="K53" s="187"/>
      <c r="L53" s="187"/>
      <c r="M53" s="187"/>
      <c r="N53" s="103" t="s">
        <v>134</v>
      </c>
      <c r="O53" s="100">
        <v>13.74</v>
      </c>
    </row>
    <row r="54" spans="1:15" x14ac:dyDescent="0.2">
      <c r="A54" s="184"/>
      <c r="B54" s="263"/>
      <c r="C54" s="263"/>
      <c r="D54" s="263"/>
      <c r="E54" s="263"/>
      <c r="F54" s="263"/>
      <c r="G54" s="188"/>
      <c r="H54" s="185"/>
      <c r="I54" s="185"/>
      <c r="J54" s="186"/>
      <c r="N54" s="99" t="s">
        <v>135</v>
      </c>
      <c r="O54" s="100">
        <v>7.85</v>
      </c>
    </row>
    <row r="55" spans="1:15" x14ac:dyDescent="0.2">
      <c r="A55" s="184"/>
      <c r="B55" s="260" t="str">
        <f>IF(OR('štandardný výstup'!G56=0,'štandardný výstup'!J56=0),"vyplnte hárok štandardný výstup","")</f>
        <v>vyplnte hárok štandardný výstup</v>
      </c>
      <c r="C55" s="260"/>
      <c r="D55" s="260"/>
      <c r="E55" s="260"/>
      <c r="F55" s="260"/>
      <c r="G55" s="260"/>
      <c r="H55" s="185"/>
      <c r="I55" s="185"/>
      <c r="J55" s="186"/>
      <c r="N55" s="99" t="s">
        <v>136</v>
      </c>
      <c r="O55" s="100">
        <v>12.22</v>
      </c>
    </row>
    <row r="56" spans="1:15" x14ac:dyDescent="0.2">
      <c r="A56" s="184"/>
      <c r="B56" s="260" t="str">
        <f>IF(J27="","označte jednu možnosť v bodovacom kritériu č. 3","")</f>
        <v>označte jednu možnosť v bodovacom kritériu č. 3</v>
      </c>
      <c r="C56" s="260"/>
      <c r="D56" s="260"/>
      <c r="E56" s="260"/>
      <c r="F56" s="260"/>
      <c r="G56" s="260"/>
      <c r="H56" s="185"/>
      <c r="I56" s="185"/>
      <c r="J56" s="186"/>
      <c r="N56" s="99" t="s">
        <v>137</v>
      </c>
      <c r="O56" s="100">
        <v>8.6</v>
      </c>
    </row>
    <row r="57" spans="1:15" x14ac:dyDescent="0.2">
      <c r="A57" s="184"/>
      <c r="B57" s="260" t="str">
        <f>IF(H34="","zadajte počet zamestnaných v bodovacom kritériu č. 4 - aj nulové hodnoty","")</f>
        <v>zadajte počet zamestnaných v bodovacom kritériu č. 4 - aj nulové hodnoty</v>
      </c>
      <c r="C57" s="260"/>
      <c r="D57" s="260"/>
      <c r="E57" s="260"/>
      <c r="F57" s="260"/>
      <c r="G57" s="260"/>
      <c r="H57" s="185"/>
      <c r="I57" s="185"/>
      <c r="J57" s="186"/>
      <c r="N57" s="99" t="s">
        <v>138</v>
      </c>
      <c r="O57" s="100">
        <v>16.79</v>
      </c>
    </row>
    <row r="58" spans="1:15" x14ac:dyDescent="0.2">
      <c r="A58" s="184"/>
      <c r="B58" s="260" t="str">
        <f>IF(J37="","označte jednu možnosť v bodovacom kritériu č. 5","")</f>
        <v>označte jednu možnosť v bodovacom kritériu č. 5</v>
      </c>
      <c r="C58" s="260"/>
      <c r="D58" s="260"/>
      <c r="E58" s="260"/>
      <c r="F58" s="260"/>
      <c r="G58" s="260"/>
      <c r="H58" s="185"/>
      <c r="I58" s="185"/>
      <c r="J58" s="186"/>
      <c r="N58" s="99" t="s">
        <v>139</v>
      </c>
      <c r="O58" s="100">
        <v>13.41</v>
      </c>
    </row>
    <row r="59" spans="1:15" x14ac:dyDescent="0.2">
      <c r="A59" s="184"/>
      <c r="B59" s="263" t="str">
        <f>IF(J41="","označte jednu možnosť v bodovacom kritériu č. 6","")</f>
        <v>označte jednu možnosť v bodovacom kritériu č. 6</v>
      </c>
      <c r="C59" s="263"/>
      <c r="D59" s="263"/>
      <c r="E59" s="263"/>
      <c r="F59" s="263"/>
      <c r="G59" s="263"/>
      <c r="H59" s="185"/>
      <c r="I59" s="185"/>
      <c r="J59" s="186"/>
      <c r="N59" s="103" t="s">
        <v>140</v>
      </c>
      <c r="O59" s="100">
        <v>20.53</v>
      </c>
    </row>
    <row r="60" spans="1:15" x14ac:dyDescent="0.2">
      <c r="A60" s="184"/>
      <c r="B60" s="260" t="str">
        <f>IF(J46="","označte jednu možnosť v bodovacom kritériu č. 8","")</f>
        <v>označte jednu možnosť v bodovacom kritériu č. 8</v>
      </c>
      <c r="C60" s="260"/>
      <c r="D60" s="260"/>
      <c r="E60" s="260"/>
      <c r="F60" s="260"/>
      <c r="G60" s="260"/>
      <c r="H60" s="185"/>
      <c r="I60" s="185"/>
      <c r="J60" s="186"/>
      <c r="N60" s="99" t="s">
        <v>141</v>
      </c>
      <c r="O60" s="100">
        <v>14.12</v>
      </c>
    </row>
    <row r="61" spans="1:15" x14ac:dyDescent="0.2">
      <c r="B61" s="260" t="str">
        <f>IF('štandardný výstup'!B60="nedosiahnutie minimálneho štandardného výstupu - nesplnenie podmienok",TRANSPOSE('štandardný výstup'!B60),IF('štandardný výstup'!B60="štandardný výstup prekročený - nesplnenie podmienok",TRANSPOSE('štandardný výstup'!B60),""))</f>
        <v/>
      </c>
      <c r="C61" s="260"/>
      <c r="D61" s="260"/>
      <c r="E61" s="260"/>
      <c r="F61" s="260"/>
      <c r="G61" s="260"/>
      <c r="H61" s="185"/>
      <c r="I61" s="185"/>
      <c r="J61" s="186"/>
      <c r="N61" s="99" t="s">
        <v>142</v>
      </c>
      <c r="O61" s="100">
        <v>17.510000000000002</v>
      </c>
    </row>
    <row r="62" spans="1:15" x14ac:dyDescent="0.2">
      <c r="A62" s="184"/>
      <c r="B62" s="264" t="str">
        <f>IF('štandardný výstup'!B61="nedosiahnutie minimálnej hodnoty štandardného výstupu v čase predloženia ŽoNFP",TRANSPOSE('štandardný výstup'!B61),IF('štandardný výstup'!B61="nedosiahnutie minimálnej hodnoty štandardného výstupu",TRANSPOSE('štandardný výstup'!B61),""))</f>
        <v/>
      </c>
      <c r="C62" s="264"/>
      <c r="D62" s="264"/>
      <c r="E62" s="264"/>
      <c r="F62" s="264"/>
      <c r="G62" s="264"/>
      <c r="H62" s="185"/>
      <c r="I62" s="185"/>
      <c r="J62" s="186"/>
      <c r="N62" s="99" t="s">
        <v>143</v>
      </c>
      <c r="O62" s="100">
        <v>8.34</v>
      </c>
    </row>
    <row r="63" spans="1:15" x14ac:dyDescent="0.2">
      <c r="A63" s="184"/>
      <c r="B63" s="184"/>
      <c r="C63" s="184"/>
      <c r="D63" s="184"/>
      <c r="E63" s="184"/>
      <c r="F63" s="184"/>
      <c r="G63" s="184"/>
      <c r="H63" s="185"/>
      <c r="I63" s="185"/>
      <c r="J63" s="186"/>
      <c r="N63" s="99" t="s">
        <v>144</v>
      </c>
      <c r="O63" s="100">
        <v>10.54</v>
      </c>
    </row>
    <row r="64" spans="1:15" x14ac:dyDescent="0.2">
      <c r="A64" s="184"/>
      <c r="B64" s="184"/>
      <c r="C64" s="184"/>
      <c r="D64" s="184"/>
      <c r="E64" s="184"/>
      <c r="F64" s="184"/>
      <c r="G64" s="94"/>
      <c r="H64" s="40"/>
      <c r="I64" s="261"/>
      <c r="J64" s="261"/>
      <c r="N64" s="103" t="s">
        <v>145</v>
      </c>
      <c r="O64" s="100">
        <v>16.98</v>
      </c>
    </row>
    <row r="65" spans="1:15" x14ac:dyDescent="0.2">
      <c r="A65" s="184"/>
      <c r="B65" s="184"/>
      <c r="C65" s="184"/>
      <c r="D65" s="184"/>
      <c r="E65" s="184"/>
      <c r="F65" s="184"/>
      <c r="G65" s="95"/>
      <c r="H65" s="189"/>
      <c r="I65" s="262"/>
      <c r="J65" s="262"/>
      <c r="N65" s="99" t="s">
        <v>146</v>
      </c>
      <c r="O65" s="100">
        <v>14.66</v>
      </c>
    </row>
    <row r="66" spans="1:15" ht="29.25" customHeight="1" x14ac:dyDescent="0.2">
      <c r="A66" s="268" t="s">
        <v>226</v>
      </c>
      <c r="B66" s="268"/>
      <c r="C66" s="268"/>
      <c r="D66" s="268"/>
      <c r="E66" s="268"/>
      <c r="F66" s="268"/>
      <c r="G66" s="268"/>
      <c r="H66" s="268"/>
      <c r="I66" s="268"/>
      <c r="J66" s="268"/>
      <c r="N66" s="99" t="s">
        <v>147</v>
      </c>
      <c r="O66" s="100">
        <v>9.76</v>
      </c>
    </row>
    <row r="67" spans="1:15" x14ac:dyDescent="0.2">
      <c r="A67" s="268" t="s">
        <v>227</v>
      </c>
      <c r="B67" s="268"/>
      <c r="C67" s="268"/>
      <c r="D67" s="268"/>
      <c r="E67" s="268"/>
      <c r="F67" s="268"/>
      <c r="G67" s="268"/>
      <c r="H67" s="268"/>
      <c r="I67" s="268"/>
      <c r="J67" s="268"/>
      <c r="N67" s="99" t="s">
        <v>148</v>
      </c>
      <c r="O67" s="100">
        <v>15.02</v>
      </c>
    </row>
    <row r="68" spans="1:15" ht="14.25" x14ac:dyDescent="0.2">
      <c r="A68" s="269" t="s">
        <v>228</v>
      </c>
      <c r="B68" s="269"/>
      <c r="C68" s="269"/>
      <c r="D68" s="269"/>
      <c r="E68" s="269"/>
      <c r="F68" s="269"/>
      <c r="G68" s="269"/>
      <c r="H68" s="269"/>
      <c r="I68" s="269"/>
      <c r="J68" s="269"/>
      <c r="N68" s="99" t="s">
        <v>149</v>
      </c>
      <c r="O68" s="100">
        <v>18.34</v>
      </c>
    </row>
    <row r="69" spans="1:15" ht="14.25" x14ac:dyDescent="0.2">
      <c r="A69" s="250" t="s">
        <v>229</v>
      </c>
      <c r="B69" s="250"/>
      <c r="C69" s="250"/>
      <c r="D69" s="250"/>
      <c r="E69" s="250"/>
      <c r="F69" s="250"/>
      <c r="G69" s="250"/>
      <c r="H69" s="250"/>
      <c r="I69" s="250"/>
      <c r="J69" s="250"/>
      <c r="N69" s="99" t="s">
        <v>150</v>
      </c>
      <c r="O69" s="100">
        <v>17.8</v>
      </c>
    </row>
    <row r="70" spans="1:15" x14ac:dyDescent="0.2">
      <c r="N70" s="99" t="s">
        <v>151</v>
      </c>
      <c r="O70" s="100">
        <v>14.95</v>
      </c>
    </row>
    <row r="71" spans="1:15" x14ac:dyDescent="0.2">
      <c r="N71" s="99" t="s">
        <v>152</v>
      </c>
      <c r="O71" s="100">
        <v>7.4</v>
      </c>
    </row>
    <row r="72" spans="1:15" x14ac:dyDescent="0.2">
      <c r="N72" s="99" t="s">
        <v>153</v>
      </c>
      <c r="O72" s="100">
        <v>7.31</v>
      </c>
    </row>
    <row r="73" spans="1:15" x14ac:dyDescent="0.2">
      <c r="N73" s="99" t="s">
        <v>154</v>
      </c>
      <c r="O73" s="100">
        <v>5.52</v>
      </c>
    </row>
    <row r="74" spans="1:15" x14ac:dyDescent="0.2">
      <c r="N74" s="99" t="s">
        <v>155</v>
      </c>
      <c r="O74" s="100">
        <v>6.37</v>
      </c>
    </row>
    <row r="75" spans="1:15" x14ac:dyDescent="0.2">
      <c r="N75" s="99" t="s">
        <v>156</v>
      </c>
      <c r="O75" s="100">
        <v>15.48</v>
      </c>
    </row>
    <row r="76" spans="1:15" x14ac:dyDescent="0.2">
      <c r="N76" s="99" t="s">
        <v>157</v>
      </c>
      <c r="O76" s="100">
        <v>13.77</v>
      </c>
    </row>
    <row r="77" spans="1:15" x14ac:dyDescent="0.2">
      <c r="N77" s="99" t="s">
        <v>158</v>
      </c>
      <c r="O77" s="100">
        <v>20.93</v>
      </c>
    </row>
    <row r="78" spans="1:15" x14ac:dyDescent="0.2">
      <c r="N78" s="99" t="s">
        <v>159</v>
      </c>
      <c r="O78" s="100">
        <v>16.45</v>
      </c>
    </row>
    <row r="79" spans="1:15" x14ac:dyDescent="0.2">
      <c r="N79" s="99" t="s">
        <v>160</v>
      </c>
      <c r="O79" s="100">
        <v>11.31</v>
      </c>
    </row>
    <row r="80" spans="1:15" x14ac:dyDescent="0.2">
      <c r="N80" s="103" t="s">
        <v>161</v>
      </c>
      <c r="O80" s="100">
        <v>17.05</v>
      </c>
    </row>
  </sheetData>
  <sheetProtection algorithmName="SHA-512" hashValue="filVHalWBJUwPJYhA3Q8UphAVzry0ih7w61A48e4Z9nUyGLLsTfXXvIMSX9x/vNt9M4hRKXuEKpbt0a8+CNawQ==" saltValue="FFIbmonqruBjgKXkl3TIQQ==" spinCount="100000" sheet="1" objects="1" scenarios="1"/>
  <mergeCells count="75">
    <mergeCell ref="J37:J40"/>
    <mergeCell ref="J41:J44"/>
    <mergeCell ref="A66:J66"/>
    <mergeCell ref="A67:J67"/>
    <mergeCell ref="A68:J68"/>
    <mergeCell ref="B57:G57"/>
    <mergeCell ref="B56:G56"/>
    <mergeCell ref="B47:E47"/>
    <mergeCell ref="B48:E48"/>
    <mergeCell ref="B59:G59"/>
    <mergeCell ref="B60:G60"/>
    <mergeCell ref="A37:A40"/>
    <mergeCell ref="B37:E40"/>
    <mergeCell ref="F37:F40"/>
    <mergeCell ref="G37:G40"/>
    <mergeCell ref="B42:E42"/>
    <mergeCell ref="A69:J69"/>
    <mergeCell ref="A41:A44"/>
    <mergeCell ref="B43:E43"/>
    <mergeCell ref="G41:G44"/>
    <mergeCell ref="B45:E45"/>
    <mergeCell ref="A49:G49"/>
    <mergeCell ref="B53:G53"/>
    <mergeCell ref="B55:G55"/>
    <mergeCell ref="I64:J64"/>
    <mergeCell ref="I65:J65"/>
    <mergeCell ref="B61:G61"/>
    <mergeCell ref="B58:G58"/>
    <mergeCell ref="B54:F54"/>
    <mergeCell ref="B62:G62"/>
    <mergeCell ref="B46:E46"/>
    <mergeCell ref="B41:E41"/>
    <mergeCell ref="B44:E44"/>
    <mergeCell ref="A25:A26"/>
    <mergeCell ref="B25:E26"/>
    <mergeCell ref="F25:F26"/>
    <mergeCell ref="B29:E29"/>
    <mergeCell ref="B30:E30"/>
    <mergeCell ref="A27:A32"/>
    <mergeCell ref="A33:A36"/>
    <mergeCell ref="B33:E33"/>
    <mergeCell ref="B34:E34"/>
    <mergeCell ref="B35:E35"/>
    <mergeCell ref="B28:E28"/>
    <mergeCell ref="H34:H36"/>
    <mergeCell ref="J33:J36"/>
    <mergeCell ref="G33:G36"/>
    <mergeCell ref="B36:E36"/>
    <mergeCell ref="B31:E31"/>
    <mergeCell ref="B32:E32"/>
    <mergeCell ref="G27:G32"/>
    <mergeCell ref="B27:E27"/>
    <mergeCell ref="J27:J32"/>
    <mergeCell ref="C7:J7"/>
    <mergeCell ref="B16:E16"/>
    <mergeCell ref="J17:J20"/>
    <mergeCell ref="G25:G26"/>
    <mergeCell ref="J25:J26"/>
    <mergeCell ref="B24:E24"/>
    <mergeCell ref="G22:G24"/>
    <mergeCell ref="B23:E23"/>
    <mergeCell ref="I22:I24"/>
    <mergeCell ref="I25:I26"/>
    <mergeCell ref="B22:E22"/>
    <mergeCell ref="A17:A20"/>
    <mergeCell ref="J22:J24"/>
    <mergeCell ref="B21:E21"/>
    <mergeCell ref="G17:G20"/>
    <mergeCell ref="H18:H20"/>
    <mergeCell ref="B17:E17"/>
    <mergeCell ref="B20:E20"/>
    <mergeCell ref="B18:E18"/>
    <mergeCell ref="B19:E19"/>
    <mergeCell ref="I17:I19"/>
    <mergeCell ref="A22:A24"/>
  </mergeCells>
  <conditionalFormatting sqref="B51">
    <cfRule type="cellIs" dxfId="41" priority="23" operator="equal">
      <formula>"nie sú zadané oprávnené výdavky"</formula>
    </cfRule>
  </conditionalFormatting>
  <conditionalFormatting sqref="B52">
    <cfRule type="cellIs" dxfId="40" priority="22" operator="equal">
      <formula>"nie je zadaný počet pripojiteľných domácností"</formula>
    </cfRule>
  </conditionalFormatting>
  <conditionalFormatting sqref="B53">
    <cfRule type="cellIs" dxfId="39" priority="14" operator="equal">
      <formula>"nie je vyplnený hárok nezamestnanosť"</formula>
    </cfRule>
    <cfRule type="cellIs" dxfId="38" priority="21" operator="equal">
      <formula>"nie je zadaný celkový počet domácností"</formula>
    </cfRule>
  </conditionalFormatting>
  <conditionalFormatting sqref="B54">
    <cfRule type="cellIs" dxfId="37" priority="13" operator="equal">
      <formula>"označte jednu možnosť v bodovacom kritériu č. 2"</formula>
    </cfRule>
    <cfRule type="cellIs" dxfId="36" priority="20" operator="equal">
      <formula>"nie je zadaný počet obyvateľov"</formula>
    </cfRule>
  </conditionalFormatting>
  <conditionalFormatting sqref="B55">
    <cfRule type="cellIs" dxfId="35" priority="12" operator="equal">
      <formula>"vyplnte hárok štandardný výstup"</formula>
    </cfRule>
    <cfRule type="cellIs" dxfId="34" priority="19" operator="equal">
      <formula>"nie je vyplnená nezamestnanosť"</formula>
    </cfRule>
  </conditionalFormatting>
  <conditionalFormatting sqref="B56">
    <cfRule type="cellIs" dxfId="33" priority="11" operator="equal">
      <formula>"označte jednu možnosť v bodovacom kritériu č. 3"</formula>
    </cfRule>
  </conditionalFormatting>
  <conditionalFormatting sqref="B57">
    <cfRule type="cellIs" dxfId="32" priority="10" operator="equal">
      <formula>"zadajte počet zamestnaných v bodovacom kritériu č. 4 - aj nulové hodnoty"</formula>
    </cfRule>
  </conditionalFormatting>
  <conditionalFormatting sqref="B58">
    <cfRule type="cellIs" dxfId="31" priority="16" operator="equal">
      <formula>"označte jednu možnosť v bodovacom kritériu č. 5"</formula>
    </cfRule>
  </conditionalFormatting>
  <conditionalFormatting sqref="B61">
    <cfRule type="cellIs" dxfId="30" priority="5" operator="equal">
      <formula>"štandardný výstup prekročený - nesplnenie podmienok"</formula>
    </cfRule>
    <cfRule type="cellIs" dxfId="29" priority="6" operator="equal">
      <formula>"nedosiahnutie minimálneho štandardného výstupu - nesplnenie podmienok"</formula>
    </cfRule>
  </conditionalFormatting>
  <conditionalFormatting sqref="B62">
    <cfRule type="cellIs" dxfId="28" priority="4" operator="equal">
      <formula>"nie je vyplnená pozícia"</formula>
    </cfRule>
  </conditionalFormatting>
  <conditionalFormatting sqref="B62">
    <cfRule type="cellIs" dxfId="27" priority="3" operator="equal">
      <formula>"nedosiahnutie minimálnej hodnoty štandardného výstupu"</formula>
    </cfRule>
  </conditionalFormatting>
  <conditionalFormatting sqref="B59">
    <cfRule type="cellIs" dxfId="26" priority="2" operator="equal">
      <formula>"označte jednu možnosť v bodovacom kritériu č. 6"</formula>
    </cfRule>
  </conditionalFormatting>
  <conditionalFormatting sqref="B60">
    <cfRule type="cellIs" dxfId="25" priority="1" operator="equal">
      <formula>"označte jednu možnosť v bodovacom kritériu č. 8"</formula>
    </cfRule>
  </conditionalFormatting>
  <dataValidations count="2">
    <dataValidation type="whole" allowBlank="1" showInputMessage="1" showErrorMessage="1" prompt="zadajte celé číslo" sqref="H34">
      <formula1>0</formula1>
      <formula2>9999</formula2>
    </dataValidation>
    <dataValidation allowBlank="1" showInputMessage="1" showErrorMessage="1" prompt="vyplnenie sa prejaví na všetkých hárkoch" sqref="C8 C7:J7 C13"/>
  </dataValidations>
  <printOptions horizontalCentered="1"/>
  <pageMargins left="0.19685039370078741" right="0.19685039370078741" top="0.98425196850393704" bottom="0.98425196850393704" header="0.31496062992125984" footer="0.31496062992125984"/>
  <pageSetup paperSize="9" fitToHeight="3" orientation="landscape" r:id="rId1"/>
  <headerFooter>
    <oddFooter xml:space="preserve">&amp;L&amp;8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Option Button 3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57150</xdr:rowOff>
                  </from>
                  <to>
                    <xdr:col>7</xdr:col>
                    <xdr:colOff>1095375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 Button 36">
              <controlPr defaultSize="0" autoFill="0" autoLine="0" autoPict="0">
                <anchor moveWithCells="1">
                  <from>
                    <xdr:col>7</xdr:col>
                    <xdr:colOff>238125</xdr:colOff>
                    <xdr:row>28</xdr:row>
                    <xdr:rowOff>47625</xdr:rowOff>
                  </from>
                  <to>
                    <xdr:col>7</xdr:col>
                    <xdr:colOff>1028700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Option Button 37">
              <controlPr defaultSize="0" autoFill="0" autoLine="0" autoPict="0">
                <anchor moveWithCells="1">
                  <from>
                    <xdr:col>7</xdr:col>
                    <xdr:colOff>238125</xdr:colOff>
                    <xdr:row>29</xdr:row>
                    <xdr:rowOff>38100</xdr:rowOff>
                  </from>
                  <to>
                    <xdr:col>7</xdr:col>
                    <xdr:colOff>1104900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7</xdr:col>
                    <xdr:colOff>238125</xdr:colOff>
                    <xdr:row>30</xdr:row>
                    <xdr:rowOff>28575</xdr:rowOff>
                  </from>
                  <to>
                    <xdr:col>7</xdr:col>
                    <xdr:colOff>1066800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7</xdr:col>
                    <xdr:colOff>238125</xdr:colOff>
                    <xdr:row>31</xdr:row>
                    <xdr:rowOff>38100</xdr:rowOff>
                  </from>
                  <to>
                    <xdr:col>7</xdr:col>
                    <xdr:colOff>1152525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Option Button 41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38100</xdr:rowOff>
                  </from>
                  <to>
                    <xdr:col>7</xdr:col>
                    <xdr:colOff>1171575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Option Button 42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333375</xdr:rowOff>
                  </from>
                  <to>
                    <xdr:col>7</xdr:col>
                    <xdr:colOff>1104900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Option Button 43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400050</xdr:rowOff>
                  </from>
                  <to>
                    <xdr:col>7</xdr:col>
                    <xdr:colOff>1000125</xdr:colOff>
                    <xdr:row>39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Option Button 44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800100</xdr:rowOff>
                  </from>
                  <to>
                    <xdr:col>7</xdr:col>
                    <xdr:colOff>971550</xdr:colOff>
                    <xdr:row>39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Group Box 45">
              <controlPr defaultSize="0" autoFill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Option Button 46">
              <controlPr defaultSize="0" autoFill="0" autoLine="0" autoPict="0">
                <anchor moveWithCells="1">
                  <from>
                    <xdr:col>7</xdr:col>
                    <xdr:colOff>171450</xdr:colOff>
                    <xdr:row>41</xdr:row>
                    <xdr:rowOff>38100</xdr:rowOff>
                  </from>
                  <to>
                    <xdr:col>7</xdr:col>
                    <xdr:colOff>990600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Option Button 47">
              <controlPr defaultSize="0" autoFill="0" autoLine="0" autoPict="0">
                <anchor moveWithCells="1">
                  <from>
                    <xdr:col>7</xdr:col>
                    <xdr:colOff>171450</xdr:colOff>
                    <xdr:row>42</xdr:row>
                    <xdr:rowOff>38100</xdr:rowOff>
                  </from>
                  <to>
                    <xdr:col>7</xdr:col>
                    <xdr:colOff>1019175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Option Button 48">
              <controlPr defaultSize="0" autoFill="0" autoLine="0" autoPict="0">
                <anchor moveWithCells="1">
                  <from>
                    <xdr:col>7</xdr:col>
                    <xdr:colOff>171450</xdr:colOff>
                    <xdr:row>43</xdr:row>
                    <xdr:rowOff>38100</xdr:rowOff>
                  </from>
                  <to>
                    <xdr:col>7</xdr:col>
                    <xdr:colOff>962025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Group Box 49">
              <controlPr defaultSize="0" autoFill="0" autoPict="0">
                <anchor moveWithCells="1">
                  <from>
                    <xdr:col>7</xdr:col>
                    <xdr:colOff>0</xdr:colOff>
                    <xdr:row>44</xdr:row>
                    <xdr:rowOff>342900</xdr:rowOff>
                  </from>
                  <to>
                    <xdr:col>8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Option Button 50">
              <controlPr defaultSize="0" autoFill="0" autoLine="0" autoPict="0">
                <anchor moveWithCells="1">
                  <from>
                    <xdr:col>7</xdr:col>
                    <xdr:colOff>190500</xdr:colOff>
                    <xdr:row>45</xdr:row>
                    <xdr:rowOff>66675</xdr:rowOff>
                  </from>
                  <to>
                    <xdr:col>7</xdr:col>
                    <xdr:colOff>1104900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Option Button 51">
              <controlPr defaultSize="0" autoFill="0" autoLine="0" autoPict="0">
                <anchor moveWithCells="1">
                  <from>
                    <xdr:col>7</xdr:col>
                    <xdr:colOff>190500</xdr:colOff>
                    <xdr:row>45</xdr:row>
                    <xdr:rowOff>847725</xdr:rowOff>
                  </from>
                  <to>
                    <xdr:col>7</xdr:col>
                    <xdr:colOff>942975</xdr:colOff>
                    <xdr:row>45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Option Button 52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276225</xdr:rowOff>
                  </from>
                  <to>
                    <xdr:col>7</xdr:col>
                    <xdr:colOff>1066800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Option Button 53">
              <controlPr defaultSize="0" autoFill="0" autoLine="0" autoPict="0">
                <anchor moveWithCells="1">
                  <from>
                    <xdr:col>7</xdr:col>
                    <xdr:colOff>190500</xdr:colOff>
                    <xdr:row>45</xdr:row>
                    <xdr:rowOff>428625</xdr:rowOff>
                  </from>
                  <to>
                    <xdr:col>7</xdr:col>
                    <xdr:colOff>1095375</xdr:colOff>
                    <xdr:row>45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M47"/>
  <sheetViews>
    <sheetView zoomScaleNormal="100" workbookViewId="0">
      <selection activeCell="B11" sqref="B11"/>
    </sheetView>
  </sheetViews>
  <sheetFormatPr defaultRowHeight="12.75" x14ac:dyDescent="0.2"/>
  <cols>
    <col min="1" max="1" width="12.85546875" style="17" customWidth="1"/>
    <col min="2" max="2" width="31.5703125" style="17" customWidth="1"/>
    <col min="3" max="3" width="9.140625" style="17" hidden="1" customWidth="1"/>
    <col min="4" max="4" width="12.5703125" style="17" hidden="1" customWidth="1"/>
    <col min="5" max="5" width="12.5703125" style="17" bestFit="1" customWidth="1"/>
    <col min="6" max="6" width="14.7109375" style="17" hidden="1" customWidth="1"/>
    <col min="7" max="7" width="5.28515625" style="17" hidden="1" customWidth="1"/>
    <col min="8" max="8" width="23.28515625" style="17" customWidth="1"/>
    <col min="9" max="9" width="22.28515625" style="17" customWidth="1"/>
    <col min="10" max="11" width="9.140625" style="17"/>
    <col min="12" max="12" width="9.140625" style="17" hidden="1" customWidth="1"/>
    <col min="13" max="13" width="21.85546875" style="17" hidden="1" customWidth="1"/>
    <col min="14" max="16384" width="9.140625" style="17"/>
  </cols>
  <sheetData>
    <row r="1" spans="1:13" x14ac:dyDescent="0.2">
      <c r="A1" s="19" t="s">
        <v>166</v>
      </c>
    </row>
    <row r="2" spans="1:13" x14ac:dyDescent="0.2">
      <c r="A2" s="19" t="s">
        <v>2</v>
      </c>
    </row>
    <row r="4" spans="1:13" x14ac:dyDescent="0.2">
      <c r="A4" s="2" t="s">
        <v>0</v>
      </c>
      <c r="B4" s="270" t="str">
        <f>IF('6.3'!C7="","",'6.3'!C7)</f>
        <v/>
      </c>
      <c r="C4" s="270"/>
      <c r="D4" s="270"/>
      <c r="E4" s="270"/>
      <c r="F4" s="270"/>
      <c r="G4" s="270"/>
      <c r="H4" s="270"/>
      <c r="I4" s="270"/>
    </row>
    <row r="5" spans="1:13" x14ac:dyDescent="0.2">
      <c r="A5" s="2" t="s">
        <v>1</v>
      </c>
      <c r="B5" s="3" t="str">
        <f>IF('6.3'!C8="","",'6.3'!C8)</f>
        <v/>
      </c>
      <c r="C5" s="4"/>
      <c r="D5" s="4"/>
      <c r="E5" s="5"/>
      <c r="F5" s="5"/>
      <c r="G5" s="5"/>
      <c r="H5" s="5"/>
      <c r="I5" s="5"/>
    </row>
    <row r="6" spans="1:13" hidden="1" x14ac:dyDescent="0.2">
      <c r="A6" s="2" t="s">
        <v>162</v>
      </c>
      <c r="B6" s="6" t="str">
        <f>IF('6.3'!C13="","",'6.3'!C13)</f>
        <v/>
      </c>
    </row>
    <row r="8" spans="1:13" x14ac:dyDescent="0.2">
      <c r="A8" s="7" t="s">
        <v>3</v>
      </c>
    </row>
    <row r="9" spans="1:13" x14ac:dyDescent="0.2">
      <c r="C9" s="20" t="s">
        <v>4</v>
      </c>
      <c r="D9" s="20" t="s">
        <v>4</v>
      </c>
      <c r="F9" s="20" t="s">
        <v>4</v>
      </c>
      <c r="G9" s="20" t="s">
        <v>4</v>
      </c>
    </row>
    <row r="10" spans="1:13" x14ac:dyDescent="0.2">
      <c r="A10" s="8" t="s">
        <v>5</v>
      </c>
      <c r="B10" s="8" t="s">
        <v>6</v>
      </c>
      <c r="C10" s="8" t="s">
        <v>7</v>
      </c>
      <c r="D10" s="8" t="s">
        <v>8</v>
      </c>
      <c r="E10" s="8" t="s">
        <v>8</v>
      </c>
      <c r="F10" s="9"/>
      <c r="G10" s="9"/>
      <c r="H10" s="8" t="s">
        <v>9</v>
      </c>
      <c r="I10" s="8" t="s">
        <v>10</v>
      </c>
    </row>
    <row r="11" spans="1:13" x14ac:dyDescent="0.2">
      <c r="A11" s="10">
        <v>1</v>
      </c>
      <c r="B11" s="11"/>
      <c r="C11" s="21"/>
      <c r="D11" s="9" t="e">
        <f>VLOOKUP(B11,'6.3'!$N$2:$O$80,2,0)</f>
        <v>#N/A</v>
      </c>
      <c r="E11" s="12">
        <f>IFERROR(D11,0)</f>
        <v>0</v>
      </c>
      <c r="F11" s="12" t="str">
        <f>IF(E11&gt;0,1,"")</f>
        <v/>
      </c>
      <c r="G11" s="12">
        <f>COUNTIF($B$11:$B$40,B11)</f>
        <v>0</v>
      </c>
      <c r="H11" s="13" t="str">
        <f>IF(G11&gt;1,"okres je zadaný viackrát","")</f>
        <v/>
      </c>
      <c r="I11" s="13" t="str">
        <f>IF(B11="","nezadané miesto realizácie"," ")</f>
        <v>nezadané miesto realizácie</v>
      </c>
      <c r="L11" s="17">
        <f>IF(B11="",0,IF(OR(B11=$M$11,B11=$M$12,B11=$M$13,B11=$M$14,B11=$M$15,B11=$M$16,B11=$M$17,B11=$M$18,B11=$M$19,B11=$M$20,B11=$M$21,B11=$M$22,B11=$M$23,B11=$M$24,B11=$M$25),1000,1))</f>
        <v>0</v>
      </c>
      <c r="M11" s="17" t="s">
        <v>59</v>
      </c>
    </row>
    <row r="12" spans="1:13" x14ac:dyDescent="0.2">
      <c r="A12" s="10">
        <v>2</v>
      </c>
      <c r="B12" s="11"/>
      <c r="C12" s="21"/>
      <c r="D12" s="9" t="e">
        <f>VLOOKUP(B12,'6.3'!$N$2:$O$80,2,0)</f>
        <v>#N/A</v>
      </c>
      <c r="E12" s="12">
        <f t="shared" ref="E12:E40" si="0">IFERROR(D12,0)</f>
        <v>0</v>
      </c>
      <c r="F12" s="12" t="str">
        <f t="shared" ref="F12:F40" si="1">IF(E12&gt;0,1," ")</f>
        <v xml:space="preserve"> </v>
      </c>
      <c r="G12" s="12">
        <f t="shared" ref="G12:G40" si="2">COUNTIF($B$11:$B$40,B12)</f>
        <v>0</v>
      </c>
      <c r="H12" s="13" t="str">
        <f t="shared" ref="H12:H40" si="3">IF(G12&gt;1,"okres je zadaný viackrát","")</f>
        <v/>
      </c>
      <c r="I12" s="13"/>
      <c r="L12" s="17">
        <f t="shared" ref="L12:L40" si="4">IF(B12="",0,IF(OR(B12=$M$11,B12=$M$12,B12=$M$13,B12=$M$14,B12=$M$15,B12=$M$16,B12=$M$17,B12=$M$18,B12=$M$19,B12=$M$20,B12=$M$21,B12=$M$22,B12=$M$23,B12=$M$24,B12=$M$25),1000,1))</f>
        <v>0</v>
      </c>
      <c r="M12" s="17" t="s">
        <v>60</v>
      </c>
    </row>
    <row r="13" spans="1:13" x14ac:dyDescent="0.2">
      <c r="A13" s="10">
        <v>3</v>
      </c>
      <c r="B13" s="11"/>
      <c r="C13" s="21"/>
      <c r="D13" s="9" t="e">
        <f>VLOOKUP(B13,'6.3'!$N$2:$O$80,2,0)</f>
        <v>#N/A</v>
      </c>
      <c r="E13" s="12">
        <f t="shared" si="0"/>
        <v>0</v>
      </c>
      <c r="F13" s="12" t="str">
        <f t="shared" si="1"/>
        <v xml:space="preserve"> </v>
      </c>
      <c r="G13" s="12">
        <f t="shared" si="2"/>
        <v>0</v>
      </c>
      <c r="H13" s="13" t="str">
        <f t="shared" si="3"/>
        <v/>
      </c>
      <c r="I13" s="13"/>
      <c r="L13" s="17">
        <f t="shared" si="4"/>
        <v>0</v>
      </c>
      <c r="M13" s="17" t="s">
        <v>61</v>
      </c>
    </row>
    <row r="14" spans="1:13" x14ac:dyDescent="0.2">
      <c r="A14" s="10">
        <v>4</v>
      </c>
      <c r="B14" s="11"/>
      <c r="C14" s="21"/>
      <c r="D14" s="9" t="e">
        <f>VLOOKUP(B14,'6.3'!$N$2:$O$80,2,0)</f>
        <v>#N/A</v>
      </c>
      <c r="E14" s="12">
        <f t="shared" si="0"/>
        <v>0</v>
      </c>
      <c r="F14" s="12" t="str">
        <f t="shared" si="1"/>
        <v xml:space="preserve"> </v>
      </c>
      <c r="G14" s="12">
        <f t="shared" si="2"/>
        <v>0</v>
      </c>
      <c r="H14" s="13" t="str">
        <f t="shared" si="3"/>
        <v/>
      </c>
      <c r="I14" s="13"/>
      <c r="L14" s="17">
        <f t="shared" si="4"/>
        <v>0</v>
      </c>
      <c r="M14" s="17" t="s">
        <v>222</v>
      </c>
    </row>
    <row r="15" spans="1:13" x14ac:dyDescent="0.2">
      <c r="A15" s="10">
        <v>5</v>
      </c>
      <c r="B15" s="11"/>
      <c r="C15" s="21"/>
      <c r="D15" s="9" t="e">
        <f>VLOOKUP(B15,'6.3'!$N$2:$O$80,2,0)</f>
        <v>#N/A</v>
      </c>
      <c r="E15" s="12">
        <f t="shared" si="0"/>
        <v>0</v>
      </c>
      <c r="F15" s="12" t="str">
        <f t="shared" si="1"/>
        <v xml:space="preserve"> </v>
      </c>
      <c r="G15" s="12">
        <f t="shared" si="2"/>
        <v>0</v>
      </c>
      <c r="H15" s="13" t="str">
        <f t="shared" si="3"/>
        <v/>
      </c>
      <c r="I15" s="13"/>
      <c r="L15" s="17">
        <f t="shared" si="4"/>
        <v>0</v>
      </c>
      <c r="M15" s="17" t="s">
        <v>134</v>
      </c>
    </row>
    <row r="16" spans="1:13" x14ac:dyDescent="0.2">
      <c r="A16" s="10">
        <v>6</v>
      </c>
      <c r="B16" s="11"/>
      <c r="C16" s="21"/>
      <c r="D16" s="9" t="e">
        <f>VLOOKUP(B16,'6.3'!$N$2:$O$80,2,0)</f>
        <v>#N/A</v>
      </c>
      <c r="E16" s="12">
        <f t="shared" si="0"/>
        <v>0</v>
      </c>
      <c r="F16" s="12" t="str">
        <f t="shared" si="1"/>
        <v xml:space="preserve"> </v>
      </c>
      <c r="G16" s="12">
        <f t="shared" si="2"/>
        <v>0</v>
      </c>
      <c r="H16" s="13" t="str">
        <f t="shared" si="3"/>
        <v/>
      </c>
      <c r="I16" s="13"/>
      <c r="L16" s="17">
        <f t="shared" si="4"/>
        <v>0</v>
      </c>
      <c r="M16" s="17" t="s">
        <v>140</v>
      </c>
    </row>
    <row r="17" spans="1:13" x14ac:dyDescent="0.2">
      <c r="A17" s="10">
        <v>7</v>
      </c>
      <c r="B17" s="11"/>
      <c r="C17" s="21"/>
      <c r="D17" s="9" t="e">
        <f>VLOOKUP(B17,'6.3'!$N$2:$O$80,2,0)</f>
        <v>#N/A</v>
      </c>
      <c r="E17" s="12">
        <f t="shared" si="0"/>
        <v>0</v>
      </c>
      <c r="F17" s="12" t="str">
        <f t="shared" si="1"/>
        <v xml:space="preserve"> </v>
      </c>
      <c r="G17" s="12">
        <f t="shared" si="2"/>
        <v>0</v>
      </c>
      <c r="H17" s="13" t="str">
        <f t="shared" si="3"/>
        <v/>
      </c>
      <c r="I17" s="13"/>
      <c r="L17" s="17">
        <f t="shared" si="4"/>
        <v>0</v>
      </c>
      <c r="M17" s="17" t="s">
        <v>145</v>
      </c>
    </row>
    <row r="18" spans="1:13" x14ac:dyDescent="0.2">
      <c r="A18" s="10">
        <v>8</v>
      </c>
      <c r="B18" s="11"/>
      <c r="C18" s="21"/>
      <c r="D18" s="9" t="e">
        <f>VLOOKUP(B18,'6.3'!$N$2:$O$80,2,0)</f>
        <v>#N/A</v>
      </c>
      <c r="E18" s="12">
        <f t="shared" si="0"/>
        <v>0</v>
      </c>
      <c r="F18" s="12" t="str">
        <f t="shared" si="1"/>
        <v xml:space="preserve"> </v>
      </c>
      <c r="G18" s="12">
        <f t="shared" si="2"/>
        <v>0</v>
      </c>
      <c r="H18" s="13" t="str">
        <f t="shared" si="3"/>
        <v/>
      </c>
      <c r="I18" s="13"/>
      <c r="L18" s="17">
        <f t="shared" si="4"/>
        <v>0</v>
      </c>
      <c r="M18" s="17" t="s">
        <v>149</v>
      </c>
    </row>
    <row r="19" spans="1:13" x14ac:dyDescent="0.2">
      <c r="A19" s="10">
        <v>9</v>
      </c>
      <c r="B19" s="11"/>
      <c r="C19" s="21"/>
      <c r="D19" s="9" t="e">
        <f>VLOOKUP(B19,'6.3'!$N$2:$O$80,2,0)</f>
        <v>#N/A</v>
      </c>
      <c r="E19" s="12">
        <f t="shared" si="0"/>
        <v>0</v>
      </c>
      <c r="F19" s="12" t="str">
        <f t="shared" si="1"/>
        <v xml:space="preserve"> </v>
      </c>
      <c r="G19" s="12">
        <f t="shared" si="2"/>
        <v>0</v>
      </c>
      <c r="H19" s="13" t="str">
        <f t="shared" si="3"/>
        <v/>
      </c>
      <c r="I19" s="13"/>
      <c r="L19" s="17">
        <f t="shared" si="4"/>
        <v>0</v>
      </c>
      <c r="M19" s="17" t="s">
        <v>150</v>
      </c>
    </row>
    <row r="20" spans="1:13" x14ac:dyDescent="0.2">
      <c r="A20" s="10">
        <v>10</v>
      </c>
      <c r="B20" s="11"/>
      <c r="C20" s="21"/>
      <c r="D20" s="9" t="e">
        <f>VLOOKUP(B20,'6.3'!$N$2:$O$80,2,0)</f>
        <v>#N/A</v>
      </c>
      <c r="E20" s="12">
        <f t="shared" si="0"/>
        <v>0</v>
      </c>
      <c r="F20" s="12" t="str">
        <f t="shared" si="1"/>
        <v xml:space="preserve"> </v>
      </c>
      <c r="G20" s="12">
        <f t="shared" si="2"/>
        <v>0</v>
      </c>
      <c r="H20" s="13" t="str">
        <f t="shared" si="3"/>
        <v/>
      </c>
      <c r="I20" s="13"/>
      <c r="L20" s="17">
        <f t="shared" si="4"/>
        <v>0</v>
      </c>
      <c r="M20" s="17" t="s">
        <v>151</v>
      </c>
    </row>
    <row r="21" spans="1:13" x14ac:dyDescent="0.2">
      <c r="A21" s="10">
        <v>11</v>
      </c>
      <c r="B21" s="11"/>
      <c r="C21" s="21"/>
      <c r="D21" s="9" t="e">
        <f>VLOOKUP(B21,'6.3'!$N$2:$O$80,2,0)</f>
        <v>#N/A</v>
      </c>
      <c r="E21" s="12">
        <f t="shared" si="0"/>
        <v>0</v>
      </c>
      <c r="F21" s="12" t="str">
        <f t="shared" si="1"/>
        <v xml:space="preserve"> </v>
      </c>
      <c r="G21" s="12">
        <f t="shared" si="2"/>
        <v>0</v>
      </c>
      <c r="H21" s="13" t="str">
        <f t="shared" si="3"/>
        <v/>
      </c>
      <c r="I21" s="13"/>
      <c r="L21" s="17">
        <f t="shared" si="4"/>
        <v>0</v>
      </c>
      <c r="M21" s="17" t="s">
        <v>158</v>
      </c>
    </row>
    <row r="22" spans="1:13" x14ac:dyDescent="0.2">
      <c r="A22" s="10">
        <v>12</v>
      </c>
      <c r="B22" s="11"/>
      <c r="C22" s="21"/>
      <c r="D22" s="9" t="e">
        <f>VLOOKUP(B22,'6.3'!$N$2:$O$80,2,0)</f>
        <v>#N/A</v>
      </c>
      <c r="E22" s="12">
        <f t="shared" si="0"/>
        <v>0</v>
      </c>
      <c r="F22" s="12" t="str">
        <f t="shared" si="1"/>
        <v xml:space="preserve"> </v>
      </c>
      <c r="G22" s="12">
        <f t="shared" si="2"/>
        <v>0</v>
      </c>
      <c r="H22" s="13" t="str">
        <f t="shared" si="3"/>
        <v/>
      </c>
      <c r="I22" s="13"/>
      <c r="L22" s="17">
        <f t="shared" si="4"/>
        <v>0</v>
      </c>
      <c r="M22" s="17" t="s">
        <v>159</v>
      </c>
    </row>
    <row r="23" spans="1:13" x14ac:dyDescent="0.2">
      <c r="A23" s="10">
        <v>13</v>
      </c>
      <c r="B23" s="11"/>
      <c r="C23" s="21"/>
      <c r="D23" s="9" t="e">
        <f>VLOOKUP(B23,'6.3'!$N$2:$O$80,2,0)</f>
        <v>#N/A</v>
      </c>
      <c r="E23" s="12">
        <f t="shared" si="0"/>
        <v>0</v>
      </c>
      <c r="F23" s="12" t="str">
        <f t="shared" si="1"/>
        <v xml:space="preserve"> </v>
      </c>
      <c r="G23" s="12">
        <f t="shared" si="2"/>
        <v>0</v>
      </c>
      <c r="H23" s="13" t="str">
        <f t="shared" si="3"/>
        <v/>
      </c>
      <c r="I23" s="13"/>
      <c r="L23" s="17">
        <f t="shared" si="4"/>
        <v>0</v>
      </c>
      <c r="M23" s="17" t="s">
        <v>161</v>
      </c>
    </row>
    <row r="24" spans="1:13" x14ac:dyDescent="0.2">
      <c r="A24" s="10">
        <v>14</v>
      </c>
      <c r="B24" s="11"/>
      <c r="C24" s="21"/>
      <c r="D24" s="9" t="e">
        <f>VLOOKUP(B24,'6.3'!$N$2:$O$80,2,0)</f>
        <v>#N/A</v>
      </c>
      <c r="E24" s="12">
        <f t="shared" si="0"/>
        <v>0</v>
      </c>
      <c r="F24" s="12" t="str">
        <f t="shared" si="1"/>
        <v xml:space="preserve"> </v>
      </c>
      <c r="G24" s="12">
        <f t="shared" si="2"/>
        <v>0</v>
      </c>
      <c r="H24" s="13" t="str">
        <f t="shared" si="3"/>
        <v/>
      </c>
      <c r="I24" s="13"/>
      <c r="L24" s="17">
        <f t="shared" si="4"/>
        <v>0</v>
      </c>
      <c r="M24" s="17" t="s">
        <v>138</v>
      </c>
    </row>
    <row r="25" spans="1:13" x14ac:dyDescent="0.2">
      <c r="A25" s="10">
        <v>15</v>
      </c>
      <c r="B25" s="11"/>
      <c r="C25" s="21"/>
      <c r="D25" s="9" t="e">
        <f>VLOOKUP(B25,'6.3'!$N$2:$O$80,2,0)</f>
        <v>#N/A</v>
      </c>
      <c r="E25" s="12">
        <f t="shared" si="0"/>
        <v>0</v>
      </c>
      <c r="F25" s="12" t="str">
        <f t="shared" si="1"/>
        <v xml:space="preserve"> </v>
      </c>
      <c r="G25" s="12">
        <f t="shared" si="2"/>
        <v>0</v>
      </c>
      <c r="H25" s="13" t="str">
        <f t="shared" si="3"/>
        <v/>
      </c>
      <c r="I25" s="13"/>
      <c r="L25" s="17">
        <f t="shared" si="4"/>
        <v>0</v>
      </c>
      <c r="M25" s="17" t="s">
        <v>142</v>
      </c>
    </row>
    <row r="26" spans="1:13" x14ac:dyDescent="0.2">
      <c r="A26" s="10">
        <v>16</v>
      </c>
      <c r="B26" s="11"/>
      <c r="C26" s="21"/>
      <c r="D26" s="9" t="e">
        <f>VLOOKUP(B26,'6.3'!$N$2:$O$80,2,0)</f>
        <v>#N/A</v>
      </c>
      <c r="E26" s="12">
        <f t="shared" si="0"/>
        <v>0</v>
      </c>
      <c r="F26" s="12" t="str">
        <f t="shared" si="1"/>
        <v xml:space="preserve"> </v>
      </c>
      <c r="G26" s="12">
        <f t="shared" si="2"/>
        <v>0</v>
      </c>
      <c r="H26" s="13" t="str">
        <f t="shared" si="3"/>
        <v/>
      </c>
      <c r="I26" s="13"/>
      <c r="L26" s="17">
        <f t="shared" si="4"/>
        <v>0</v>
      </c>
      <c r="M26" s="90" t="str">
        <f>IF(OR(M27=1000,M27=2000,M27=3000,M27=4000,M27=5000,M27=6000,M27=7000,M27=8000,M27=9000,M27=10000,M27=11000,M27=12000,M27=13000,M27=14000,M27=15000),"najmenej rozvinutý okres","priemer")</f>
        <v>priemer</v>
      </c>
    </row>
    <row r="27" spans="1:13" x14ac:dyDescent="0.2">
      <c r="A27" s="10">
        <v>17</v>
      </c>
      <c r="B27" s="11"/>
      <c r="C27" s="21"/>
      <c r="D27" s="9" t="e">
        <f>VLOOKUP(B27,'6.3'!$N$2:$O$80,2,0)</f>
        <v>#N/A</v>
      </c>
      <c r="E27" s="12">
        <f t="shared" si="0"/>
        <v>0</v>
      </c>
      <c r="F27" s="12" t="str">
        <f t="shared" si="1"/>
        <v xml:space="preserve"> </v>
      </c>
      <c r="G27" s="12">
        <f t="shared" si="2"/>
        <v>0</v>
      </c>
      <c r="H27" s="13" t="str">
        <f t="shared" si="3"/>
        <v/>
      </c>
      <c r="I27" s="13"/>
      <c r="L27" s="17">
        <f t="shared" si="4"/>
        <v>0</v>
      </c>
      <c r="M27" s="89">
        <f>SUM(L11:L40)</f>
        <v>0</v>
      </c>
    </row>
    <row r="28" spans="1:13" x14ac:dyDescent="0.2">
      <c r="A28" s="10">
        <v>18</v>
      </c>
      <c r="B28" s="11"/>
      <c r="C28" s="21"/>
      <c r="D28" s="9" t="e">
        <f>VLOOKUP(B28,'6.3'!$N$2:$O$80,2,0)</f>
        <v>#N/A</v>
      </c>
      <c r="E28" s="12">
        <f t="shared" si="0"/>
        <v>0</v>
      </c>
      <c r="F28" s="12" t="str">
        <f t="shared" si="1"/>
        <v xml:space="preserve"> </v>
      </c>
      <c r="G28" s="12">
        <f t="shared" si="2"/>
        <v>0</v>
      </c>
      <c r="H28" s="13" t="str">
        <f t="shared" si="3"/>
        <v/>
      </c>
      <c r="I28" s="13"/>
      <c r="L28" s="17">
        <f t="shared" si="4"/>
        <v>0</v>
      </c>
    </row>
    <row r="29" spans="1:13" x14ac:dyDescent="0.2">
      <c r="A29" s="10">
        <v>19</v>
      </c>
      <c r="B29" s="11"/>
      <c r="C29" s="21"/>
      <c r="D29" s="9" t="e">
        <f>VLOOKUP(B29,'6.3'!$N$2:$O$80,2,0)</f>
        <v>#N/A</v>
      </c>
      <c r="E29" s="12">
        <f t="shared" si="0"/>
        <v>0</v>
      </c>
      <c r="F29" s="12" t="str">
        <f t="shared" si="1"/>
        <v xml:space="preserve"> </v>
      </c>
      <c r="G29" s="12">
        <f t="shared" si="2"/>
        <v>0</v>
      </c>
      <c r="H29" s="13" t="str">
        <f t="shared" si="3"/>
        <v/>
      </c>
      <c r="I29" s="13"/>
      <c r="L29" s="17">
        <f t="shared" si="4"/>
        <v>0</v>
      </c>
    </row>
    <row r="30" spans="1:13" x14ac:dyDescent="0.2">
      <c r="A30" s="10">
        <v>20</v>
      </c>
      <c r="B30" s="11"/>
      <c r="C30" s="21"/>
      <c r="D30" s="9" t="e">
        <f>VLOOKUP(B30,'6.3'!$N$2:$O$80,2,0)</f>
        <v>#N/A</v>
      </c>
      <c r="E30" s="12">
        <f t="shared" si="0"/>
        <v>0</v>
      </c>
      <c r="F30" s="12" t="str">
        <f t="shared" si="1"/>
        <v xml:space="preserve"> </v>
      </c>
      <c r="G30" s="12">
        <f t="shared" si="2"/>
        <v>0</v>
      </c>
      <c r="H30" s="13" t="str">
        <f t="shared" si="3"/>
        <v/>
      </c>
      <c r="I30" s="13"/>
      <c r="L30" s="17">
        <f t="shared" si="4"/>
        <v>0</v>
      </c>
    </row>
    <row r="31" spans="1:13" x14ac:dyDescent="0.2">
      <c r="A31" s="10">
        <v>21</v>
      </c>
      <c r="B31" s="11"/>
      <c r="C31" s="21"/>
      <c r="D31" s="9" t="e">
        <f>VLOOKUP(B31,'6.3'!$N$2:$O$80,2,0)</f>
        <v>#N/A</v>
      </c>
      <c r="E31" s="12">
        <f t="shared" si="0"/>
        <v>0</v>
      </c>
      <c r="F31" s="12" t="str">
        <f t="shared" si="1"/>
        <v xml:space="preserve"> </v>
      </c>
      <c r="G31" s="12">
        <f t="shared" si="2"/>
        <v>0</v>
      </c>
      <c r="H31" s="13" t="str">
        <f t="shared" si="3"/>
        <v/>
      </c>
      <c r="I31" s="13"/>
      <c r="L31" s="17">
        <f t="shared" si="4"/>
        <v>0</v>
      </c>
    </row>
    <row r="32" spans="1:13" x14ac:dyDescent="0.2">
      <c r="A32" s="10">
        <v>22</v>
      </c>
      <c r="B32" s="11"/>
      <c r="C32" s="21"/>
      <c r="D32" s="9" t="e">
        <f>VLOOKUP(B32,'6.3'!$N$2:$O$80,2,0)</f>
        <v>#N/A</v>
      </c>
      <c r="E32" s="12">
        <f t="shared" si="0"/>
        <v>0</v>
      </c>
      <c r="F32" s="12" t="str">
        <f t="shared" si="1"/>
        <v xml:space="preserve"> </v>
      </c>
      <c r="G32" s="12">
        <f t="shared" si="2"/>
        <v>0</v>
      </c>
      <c r="H32" s="13" t="str">
        <f t="shared" si="3"/>
        <v/>
      </c>
      <c r="I32" s="13"/>
      <c r="L32" s="17">
        <f t="shared" si="4"/>
        <v>0</v>
      </c>
    </row>
    <row r="33" spans="1:12" x14ac:dyDescent="0.2">
      <c r="A33" s="10">
        <v>23</v>
      </c>
      <c r="B33" s="11"/>
      <c r="C33" s="21"/>
      <c r="D33" s="9" t="e">
        <f>VLOOKUP(B33,'6.3'!$N$2:$O$80,2,0)</f>
        <v>#N/A</v>
      </c>
      <c r="E33" s="12">
        <f t="shared" si="0"/>
        <v>0</v>
      </c>
      <c r="F33" s="12" t="str">
        <f t="shared" si="1"/>
        <v xml:space="preserve"> </v>
      </c>
      <c r="G33" s="12">
        <f t="shared" si="2"/>
        <v>0</v>
      </c>
      <c r="H33" s="13" t="str">
        <f t="shared" si="3"/>
        <v/>
      </c>
      <c r="I33" s="13"/>
      <c r="L33" s="17">
        <f t="shared" si="4"/>
        <v>0</v>
      </c>
    </row>
    <row r="34" spans="1:12" x14ac:dyDescent="0.2">
      <c r="A34" s="10">
        <v>24</v>
      </c>
      <c r="B34" s="11"/>
      <c r="C34" s="21"/>
      <c r="D34" s="9" t="e">
        <f>VLOOKUP(B34,'6.3'!$N$2:$O$80,2,0)</f>
        <v>#N/A</v>
      </c>
      <c r="E34" s="12">
        <f t="shared" si="0"/>
        <v>0</v>
      </c>
      <c r="F34" s="12" t="str">
        <f t="shared" si="1"/>
        <v xml:space="preserve"> </v>
      </c>
      <c r="G34" s="12">
        <f t="shared" si="2"/>
        <v>0</v>
      </c>
      <c r="H34" s="13" t="str">
        <f t="shared" si="3"/>
        <v/>
      </c>
      <c r="I34" s="13"/>
      <c r="L34" s="17">
        <f t="shared" si="4"/>
        <v>0</v>
      </c>
    </row>
    <row r="35" spans="1:12" x14ac:dyDescent="0.2">
      <c r="A35" s="10">
        <v>25</v>
      </c>
      <c r="B35" s="11"/>
      <c r="C35" s="21"/>
      <c r="D35" s="9" t="e">
        <f>VLOOKUP(B35,'6.3'!$N$2:$O$80,2,0)</f>
        <v>#N/A</v>
      </c>
      <c r="E35" s="12">
        <f t="shared" si="0"/>
        <v>0</v>
      </c>
      <c r="F35" s="12" t="str">
        <f t="shared" si="1"/>
        <v xml:space="preserve"> </v>
      </c>
      <c r="G35" s="12">
        <f t="shared" si="2"/>
        <v>0</v>
      </c>
      <c r="H35" s="13" t="str">
        <f t="shared" si="3"/>
        <v/>
      </c>
      <c r="I35" s="13"/>
      <c r="L35" s="17">
        <f t="shared" si="4"/>
        <v>0</v>
      </c>
    </row>
    <row r="36" spans="1:12" x14ac:dyDescent="0.2">
      <c r="A36" s="10">
        <v>26</v>
      </c>
      <c r="B36" s="11"/>
      <c r="C36" s="21"/>
      <c r="D36" s="9" t="e">
        <f>VLOOKUP(B36,'6.3'!$N$2:$O$80,2,0)</f>
        <v>#N/A</v>
      </c>
      <c r="E36" s="12">
        <f t="shared" si="0"/>
        <v>0</v>
      </c>
      <c r="F36" s="12" t="str">
        <f t="shared" si="1"/>
        <v xml:space="preserve"> </v>
      </c>
      <c r="G36" s="12">
        <f t="shared" si="2"/>
        <v>0</v>
      </c>
      <c r="H36" s="13" t="str">
        <f t="shared" si="3"/>
        <v/>
      </c>
      <c r="I36" s="13"/>
      <c r="L36" s="17">
        <f t="shared" si="4"/>
        <v>0</v>
      </c>
    </row>
    <row r="37" spans="1:12" x14ac:dyDescent="0.2">
      <c r="A37" s="10">
        <v>27</v>
      </c>
      <c r="B37" s="11"/>
      <c r="C37" s="21"/>
      <c r="D37" s="9" t="e">
        <f>VLOOKUP(B37,'6.3'!$N$2:$O$80,2,0)</f>
        <v>#N/A</v>
      </c>
      <c r="E37" s="12">
        <f t="shared" si="0"/>
        <v>0</v>
      </c>
      <c r="F37" s="12" t="str">
        <f t="shared" si="1"/>
        <v xml:space="preserve"> </v>
      </c>
      <c r="G37" s="12">
        <f t="shared" si="2"/>
        <v>0</v>
      </c>
      <c r="H37" s="13" t="str">
        <f t="shared" si="3"/>
        <v/>
      </c>
      <c r="I37" s="13"/>
      <c r="L37" s="17">
        <f t="shared" si="4"/>
        <v>0</v>
      </c>
    </row>
    <row r="38" spans="1:12" x14ac:dyDescent="0.2">
      <c r="A38" s="10">
        <v>28</v>
      </c>
      <c r="B38" s="11"/>
      <c r="C38" s="21"/>
      <c r="D38" s="9" t="e">
        <f>VLOOKUP(B38,'6.3'!$N$2:$O$80,2,0)</f>
        <v>#N/A</v>
      </c>
      <c r="E38" s="12">
        <f t="shared" si="0"/>
        <v>0</v>
      </c>
      <c r="F38" s="12" t="str">
        <f t="shared" si="1"/>
        <v xml:space="preserve"> </v>
      </c>
      <c r="G38" s="12">
        <f t="shared" si="2"/>
        <v>0</v>
      </c>
      <c r="H38" s="13" t="str">
        <f t="shared" si="3"/>
        <v/>
      </c>
      <c r="I38" s="13"/>
      <c r="L38" s="17">
        <f t="shared" si="4"/>
        <v>0</v>
      </c>
    </row>
    <row r="39" spans="1:12" x14ac:dyDescent="0.2">
      <c r="A39" s="10">
        <v>29</v>
      </c>
      <c r="B39" s="11"/>
      <c r="C39" s="21"/>
      <c r="D39" s="9" t="e">
        <f>VLOOKUP(B39,'6.3'!$N$2:$O$80,2,0)</f>
        <v>#N/A</v>
      </c>
      <c r="E39" s="12">
        <f t="shared" si="0"/>
        <v>0</v>
      </c>
      <c r="F39" s="12" t="str">
        <f t="shared" si="1"/>
        <v xml:space="preserve"> </v>
      </c>
      <c r="G39" s="12">
        <f t="shared" si="2"/>
        <v>0</v>
      </c>
      <c r="H39" s="13" t="str">
        <f t="shared" si="3"/>
        <v/>
      </c>
      <c r="I39" s="13"/>
      <c r="L39" s="17">
        <f t="shared" si="4"/>
        <v>0</v>
      </c>
    </row>
    <row r="40" spans="1:12" x14ac:dyDescent="0.2">
      <c r="A40" s="10">
        <v>30</v>
      </c>
      <c r="B40" s="11"/>
      <c r="C40" s="21"/>
      <c r="D40" s="9" t="e">
        <f>VLOOKUP(B40,'6.3'!$N$2:$O$80,2,0)</f>
        <v>#N/A</v>
      </c>
      <c r="E40" s="12">
        <f t="shared" si="0"/>
        <v>0</v>
      </c>
      <c r="F40" s="12" t="str">
        <f t="shared" si="1"/>
        <v xml:space="preserve"> </v>
      </c>
      <c r="G40" s="12">
        <f t="shared" si="2"/>
        <v>0</v>
      </c>
      <c r="H40" s="13" t="str">
        <f t="shared" si="3"/>
        <v/>
      </c>
      <c r="I40" s="13"/>
      <c r="L40" s="17">
        <f t="shared" si="4"/>
        <v>0</v>
      </c>
    </row>
    <row r="43" spans="1:12" hidden="1" x14ac:dyDescent="0.2">
      <c r="A43" s="15"/>
      <c r="B43" s="15"/>
      <c r="C43" s="15"/>
      <c r="D43" s="15"/>
      <c r="E43" s="14">
        <f>SUM(E11:E40)</f>
        <v>0</v>
      </c>
      <c r="F43" s="15">
        <f>COUNT(F11:F40)</f>
        <v>0</v>
      </c>
      <c r="G43" s="15"/>
      <c r="H43" s="15"/>
      <c r="I43" s="15"/>
    </row>
    <row r="44" spans="1:12" x14ac:dyDescent="0.2">
      <c r="B44" s="7" t="s">
        <v>11</v>
      </c>
      <c r="E44" s="16">
        <f>IF(M26="najmenej rozvinutý región","najmenej rozvinutý región",IFERROR(F44,0))</f>
        <v>0</v>
      </c>
      <c r="F44" s="17" t="e">
        <f>E43/F43</f>
        <v>#DIV/0!</v>
      </c>
    </row>
    <row r="46" spans="1:12" x14ac:dyDescent="0.2">
      <c r="A46" s="271"/>
      <c r="B46" s="271"/>
      <c r="C46" s="271"/>
      <c r="D46" s="271"/>
      <c r="E46" s="271"/>
      <c r="F46" s="42"/>
      <c r="G46" s="42"/>
      <c r="H46" s="40"/>
      <c r="I46" s="40"/>
      <c r="J46" s="18"/>
    </row>
    <row r="47" spans="1:12" x14ac:dyDescent="0.2">
      <c r="A47" s="272"/>
      <c r="B47" s="272"/>
      <c r="C47" s="272"/>
      <c r="D47" s="272"/>
      <c r="E47" s="272"/>
      <c r="F47" s="43"/>
      <c r="G47" s="43"/>
      <c r="H47" s="43"/>
      <c r="I47" s="43"/>
    </row>
  </sheetData>
  <sheetProtection algorithmName="SHA-512" hashValue="amJ9DNlBfmQpXjT/nF1AeHaqkp301xBTRbjFgJZ+oCjYPi/q1+Ev0NTc7gtkWJlaafUXULUMpRl0hDwRGhzbMg==" saltValue="UzkhVyoSDda6EdTyuc5+7w==" spinCount="100000" sheet="1" objects="1" scenarios="1"/>
  <mergeCells count="3">
    <mergeCell ref="B4:I4"/>
    <mergeCell ref="A46:E46"/>
    <mergeCell ref="A47:E47"/>
  </mergeCells>
  <conditionalFormatting sqref="H11:H40">
    <cfRule type="cellIs" dxfId="24" priority="2" operator="equal">
      <formula>"okres je zadaný viackrát"</formula>
    </cfRule>
  </conditionalFormatting>
  <conditionalFormatting sqref="I11:I40">
    <cfRule type="cellIs" dxfId="23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'6.3'!$N$2:$N$80</xm:f>
          </x14:formula1>
          <xm:sqref>B11:B40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O65"/>
  <sheetViews>
    <sheetView zoomScaleNormal="100" workbookViewId="0">
      <selection activeCell="E11" sqref="E11"/>
    </sheetView>
  </sheetViews>
  <sheetFormatPr defaultRowHeight="12.75" x14ac:dyDescent="0.2"/>
  <cols>
    <col min="1" max="1" width="44.5703125" style="22" customWidth="1"/>
    <col min="2" max="2" width="10.5703125" style="22" customWidth="1"/>
    <col min="3" max="3" width="14.85546875" style="22" bestFit="1" customWidth="1"/>
    <col min="4" max="4" width="19.7109375" style="22" bestFit="1" customWidth="1"/>
    <col min="5" max="5" width="12" style="22" bestFit="1" customWidth="1"/>
    <col min="6" max="6" width="13.140625" style="22" hidden="1" customWidth="1"/>
    <col min="7" max="8" width="14.28515625" style="22" customWidth="1"/>
    <col min="9" max="9" width="14.28515625" style="22" hidden="1" customWidth="1"/>
    <col min="10" max="10" width="14.28515625" style="22" customWidth="1"/>
    <col min="11" max="11" width="0" style="22" hidden="1" customWidth="1"/>
    <col min="12" max="12" width="10.28515625" style="22" hidden="1" customWidth="1"/>
    <col min="13" max="13" width="9.140625" style="22" hidden="1" customWidth="1"/>
    <col min="14" max="14" width="24.140625" style="22" hidden="1" customWidth="1"/>
    <col min="15" max="15" width="16.7109375" style="22" hidden="1" customWidth="1"/>
    <col min="16" max="16384" width="9.140625" style="22"/>
  </cols>
  <sheetData>
    <row r="1" spans="1:15" x14ac:dyDescent="0.2">
      <c r="A1" s="1" t="s">
        <v>166</v>
      </c>
    </row>
    <row r="2" spans="1:15" x14ac:dyDescent="0.2">
      <c r="A2" s="1" t="s">
        <v>177</v>
      </c>
    </row>
    <row r="3" spans="1:15" x14ac:dyDescent="0.2">
      <c r="A3" s="1"/>
    </row>
    <row r="4" spans="1:15" ht="15" customHeight="1" x14ac:dyDescent="0.2">
      <c r="A4" s="2" t="s">
        <v>0</v>
      </c>
      <c r="B4" s="277" t="str">
        <f>IF('6.3'!C7="","",'6.3'!C7)</f>
        <v/>
      </c>
      <c r="C4" s="278"/>
      <c r="D4" s="278"/>
      <c r="E4" s="278"/>
      <c r="F4" s="278"/>
      <c r="G4" s="279"/>
      <c r="H4" s="48"/>
      <c r="I4" s="48"/>
      <c r="J4" s="48"/>
    </row>
    <row r="5" spans="1:15" ht="15" customHeight="1" x14ac:dyDescent="0.2">
      <c r="A5" s="2" t="s">
        <v>1</v>
      </c>
      <c r="B5" s="280" t="str">
        <f>IF('6.3'!C8="","",'6.3'!C8)</f>
        <v/>
      </c>
      <c r="C5" s="280"/>
      <c r="D5" s="23"/>
      <c r="E5" s="23"/>
      <c r="F5" s="23"/>
      <c r="G5" s="23"/>
      <c r="H5" s="23"/>
      <c r="I5" s="23"/>
      <c r="J5" s="23"/>
    </row>
    <row r="6" spans="1:15" ht="15" customHeight="1" x14ac:dyDescent="0.2">
      <c r="A6" s="24"/>
      <c r="B6" s="260"/>
      <c r="C6" s="260"/>
      <c r="D6" s="23"/>
      <c r="E6" s="23"/>
      <c r="F6" s="23"/>
      <c r="G6" s="23"/>
      <c r="H6" s="23"/>
      <c r="I6" s="23"/>
      <c r="J6" s="23"/>
    </row>
    <row r="8" spans="1:15" ht="60" x14ac:dyDescent="0.2">
      <c r="A8" s="49" t="s">
        <v>82</v>
      </c>
      <c r="B8" s="50" t="s">
        <v>83</v>
      </c>
      <c r="C8" s="50" t="s">
        <v>84</v>
      </c>
      <c r="D8" s="50" t="s">
        <v>167</v>
      </c>
      <c r="E8" s="51" t="s">
        <v>170</v>
      </c>
      <c r="F8" s="51" t="s">
        <v>173</v>
      </c>
      <c r="G8" s="51" t="s">
        <v>169</v>
      </c>
      <c r="H8" s="84" t="s">
        <v>171</v>
      </c>
      <c r="I8" s="85" t="s">
        <v>174</v>
      </c>
      <c r="J8" s="85" t="s">
        <v>172</v>
      </c>
    </row>
    <row r="9" spans="1:15" x14ac:dyDescent="0.2">
      <c r="A9" s="52" t="s">
        <v>85</v>
      </c>
      <c r="B9" s="53"/>
      <c r="C9" s="54"/>
      <c r="D9" s="54"/>
      <c r="E9" s="54"/>
      <c r="F9" s="54" t="s">
        <v>86</v>
      </c>
      <c r="G9" s="54"/>
      <c r="H9" s="54"/>
      <c r="I9" s="55"/>
      <c r="J9" s="55"/>
      <c r="M9" s="22" t="s">
        <v>168</v>
      </c>
    </row>
    <row r="10" spans="1:15" x14ac:dyDescent="0.2">
      <c r="A10" s="56" t="s">
        <v>87</v>
      </c>
      <c r="B10" s="31" t="s">
        <v>88</v>
      </c>
      <c r="C10" s="57">
        <v>572.12</v>
      </c>
      <c r="D10" s="58">
        <v>7999</v>
      </c>
      <c r="E10" s="59"/>
      <c r="F10" s="60">
        <f>C10*E10</f>
        <v>0</v>
      </c>
      <c r="G10" s="61" t="str">
        <f>IF(F10=0,"",F10)</f>
        <v/>
      </c>
      <c r="H10" s="93"/>
      <c r="I10" s="60">
        <f>C10*H10</f>
        <v>0</v>
      </c>
      <c r="J10" s="62" t="str">
        <f>IF(I10=0,"",I10)</f>
        <v/>
      </c>
      <c r="L10" s="25"/>
      <c r="N10" s="26" t="e">
        <f>SUMPRODUCT(E10:E49,D10:D49)/SUM(E10:E49)</f>
        <v>#DIV/0!</v>
      </c>
      <c r="O10" s="27" t="e">
        <f>SUMPRODUCT(D10:D49,G10:G49)/SUM(G10:G49)</f>
        <v>#DIV/0!</v>
      </c>
    </row>
    <row r="11" spans="1:15" x14ac:dyDescent="0.2">
      <c r="A11" s="56" t="s">
        <v>89</v>
      </c>
      <c r="B11" s="31" t="s">
        <v>88</v>
      </c>
      <c r="C11" s="57">
        <v>3688.2</v>
      </c>
      <c r="D11" s="58">
        <v>9999</v>
      </c>
      <c r="E11" s="59"/>
      <c r="F11" s="60">
        <f t="shared" ref="F11:F49" si="0">C11*E11</f>
        <v>0</v>
      </c>
      <c r="G11" s="61" t="str">
        <f t="shared" ref="G11:G13" si="1">IF(F11=0,"",F11)</f>
        <v/>
      </c>
      <c r="H11" s="93"/>
      <c r="I11" s="60">
        <f t="shared" ref="I11:I49" si="2">C11*H11</f>
        <v>0</v>
      </c>
      <c r="J11" s="62" t="str">
        <f t="shared" ref="J11:J13" si="3">IF(I11=0,"",I11)</f>
        <v/>
      </c>
      <c r="L11" s="25"/>
      <c r="N11" s="28">
        <f>IFERROR(N10,0)</f>
        <v>0</v>
      </c>
      <c r="O11" s="29"/>
    </row>
    <row r="12" spans="1:15" x14ac:dyDescent="0.2">
      <c r="A12" s="63" t="s">
        <v>124</v>
      </c>
      <c r="B12" s="31" t="s">
        <v>88</v>
      </c>
      <c r="C12" s="57">
        <v>1788.11</v>
      </c>
      <c r="D12" s="58">
        <v>7999</v>
      </c>
      <c r="E12" s="59"/>
      <c r="F12" s="60">
        <f t="shared" si="0"/>
        <v>0</v>
      </c>
      <c r="G12" s="61" t="str">
        <f t="shared" si="1"/>
        <v/>
      </c>
      <c r="H12" s="93"/>
      <c r="I12" s="60">
        <f t="shared" si="2"/>
        <v>0</v>
      </c>
      <c r="J12" s="62" t="str">
        <f t="shared" si="3"/>
        <v/>
      </c>
      <c r="L12" s="25"/>
      <c r="N12" s="29"/>
      <c r="O12" s="29"/>
    </row>
    <row r="13" spans="1:15" ht="25.5" hidden="1" x14ac:dyDescent="0.2">
      <c r="A13" s="63" t="s">
        <v>132</v>
      </c>
      <c r="B13" s="31" t="s">
        <v>88</v>
      </c>
      <c r="C13" s="57">
        <v>48154.09</v>
      </c>
      <c r="D13" s="58">
        <v>9999</v>
      </c>
      <c r="E13" s="59"/>
      <c r="F13" s="60">
        <f t="shared" si="0"/>
        <v>0</v>
      </c>
      <c r="G13" s="61" t="str">
        <f t="shared" si="1"/>
        <v/>
      </c>
      <c r="H13" s="61"/>
      <c r="I13" s="60">
        <f t="shared" si="2"/>
        <v>0</v>
      </c>
      <c r="J13" s="62" t="str">
        <f t="shared" si="3"/>
        <v/>
      </c>
      <c r="L13" s="25"/>
      <c r="N13" s="29"/>
      <c r="O13" s="29"/>
    </row>
    <row r="14" spans="1:15" x14ac:dyDescent="0.2">
      <c r="A14" s="64" t="s">
        <v>125</v>
      </c>
      <c r="B14" s="32" t="s">
        <v>86</v>
      </c>
      <c r="C14" s="32" t="s">
        <v>86</v>
      </c>
      <c r="D14" s="32" t="s">
        <v>86</v>
      </c>
      <c r="E14" s="32" t="s">
        <v>86</v>
      </c>
      <c r="F14" s="32" t="s">
        <v>86</v>
      </c>
      <c r="G14" s="65" t="s">
        <v>86</v>
      </c>
      <c r="H14" s="65" t="s">
        <v>86</v>
      </c>
      <c r="I14" s="65" t="s">
        <v>86</v>
      </c>
      <c r="J14" s="65" t="s">
        <v>86</v>
      </c>
      <c r="L14" s="25"/>
      <c r="N14" s="26"/>
      <c r="O14" s="29"/>
    </row>
    <row r="15" spans="1:15" x14ac:dyDescent="0.2">
      <c r="A15" s="66" t="s">
        <v>127</v>
      </c>
      <c r="B15" s="31" t="s">
        <v>88</v>
      </c>
      <c r="C15" s="57">
        <v>4877.46</v>
      </c>
      <c r="D15" s="58">
        <v>9999</v>
      </c>
      <c r="E15" s="59"/>
      <c r="F15" s="60">
        <f t="shared" si="0"/>
        <v>0</v>
      </c>
      <c r="G15" s="61" t="str">
        <f>IF(F15=0,"",F15)</f>
        <v/>
      </c>
      <c r="H15" s="93"/>
      <c r="I15" s="60">
        <f t="shared" si="2"/>
        <v>0</v>
      </c>
      <c r="J15" s="62" t="str">
        <f>IF(I15=0,"",I15)</f>
        <v/>
      </c>
      <c r="L15" s="25"/>
      <c r="N15" s="30" t="str">
        <f>IF(G56&lt;=4000,"nedosiahnutie minimálneho štandardného výstupu - nesplnenie podmienok",IF(AND(G56&lt;=N10,OR(E11&gt;0,E13&gt;0,E15&gt;0,E16&gt;0,E19&gt;0,E28&gt;0)),"štandardný výstup dosiahnutý",IF(AND(G56&lt;=7999,G56&gt;4000,OR(E11&gt;0,E13&gt;0,E15&gt;0,E16&gt;0,E19&gt;0,E28&gt;0)),"štandardný výstup dosiahnutý",IF(AND(G56&gt;7999,OR(E11="",E13="",E15="",E16="",E19="",E28="")),"štandardný výstup prekročený - nesplnenie podmienok",IF(AND(G56&gt;4000,G56&lt;=N10,OR(E11="",E13="",E15="",E16="",E19="",E28="")),"štandardný výstup dosiahnutý")))))</f>
        <v>nedosiahnutie minimálneho štandardného výstupu - nesplnenie podmienok</v>
      </c>
      <c r="O15" s="29"/>
    </row>
    <row r="16" spans="1:15" hidden="1" x14ac:dyDescent="0.2">
      <c r="A16" s="67" t="s">
        <v>133</v>
      </c>
      <c r="B16" s="31" t="s">
        <v>88</v>
      </c>
      <c r="C16" s="57">
        <v>48154.09</v>
      </c>
      <c r="D16" s="58">
        <v>9999</v>
      </c>
      <c r="E16" s="59"/>
      <c r="F16" s="60">
        <f t="shared" si="0"/>
        <v>0</v>
      </c>
      <c r="G16" s="61" t="str">
        <f>IF(F16=0,"",F16)</f>
        <v/>
      </c>
      <c r="H16" s="61"/>
      <c r="I16" s="60">
        <f t="shared" si="2"/>
        <v>0</v>
      </c>
      <c r="J16" s="62" t="str">
        <f>IF(I16=0,"",I16)</f>
        <v/>
      </c>
      <c r="L16" s="25"/>
      <c r="N16" s="29" t="str">
        <f>IF(AND(G56&lt;=N11,G56&gt;=4000),"štandardný výstup dosiahnutý",IF(G56&gt;N11,"štandardný výstup prekročený",IF(G56&lt;=4000,"štandardný výstup nedosiahnutý")))</f>
        <v>štandardný výstup nedosiahnutý</v>
      </c>
      <c r="O16" s="29"/>
    </row>
    <row r="17" spans="1:15" x14ac:dyDescent="0.2">
      <c r="A17" s="64" t="s">
        <v>126</v>
      </c>
      <c r="B17" s="32" t="s">
        <v>86</v>
      </c>
      <c r="C17" s="32" t="s">
        <v>86</v>
      </c>
      <c r="D17" s="32" t="s">
        <v>86</v>
      </c>
      <c r="E17" s="32" t="s">
        <v>86</v>
      </c>
      <c r="F17" s="32" t="s">
        <v>86</v>
      </c>
      <c r="G17" s="65" t="s">
        <v>86</v>
      </c>
      <c r="H17" s="65" t="s">
        <v>86</v>
      </c>
      <c r="I17" s="65" t="s">
        <v>86</v>
      </c>
      <c r="J17" s="65" t="s">
        <v>86</v>
      </c>
      <c r="L17" s="25"/>
      <c r="N17" s="29"/>
      <c r="O17" s="29"/>
    </row>
    <row r="18" spans="1:15" x14ac:dyDescent="0.2">
      <c r="A18" s="66" t="s">
        <v>128</v>
      </c>
      <c r="B18" s="31" t="s">
        <v>88</v>
      </c>
      <c r="C18" s="57">
        <v>1562.92</v>
      </c>
      <c r="D18" s="58">
        <v>7999</v>
      </c>
      <c r="E18" s="59"/>
      <c r="F18" s="60">
        <f t="shared" si="0"/>
        <v>0</v>
      </c>
      <c r="G18" s="61" t="str">
        <f>IF(F18=0,"",F18)</f>
        <v/>
      </c>
      <c r="H18" s="93"/>
      <c r="I18" s="60">
        <f t="shared" si="2"/>
        <v>0</v>
      </c>
      <c r="J18" s="62" t="str">
        <f>IF(I18=0,"",I18)</f>
        <v/>
      </c>
      <c r="L18" s="25"/>
    </row>
    <row r="19" spans="1:15" x14ac:dyDescent="0.2">
      <c r="A19" s="64" t="s">
        <v>90</v>
      </c>
      <c r="B19" s="31" t="s">
        <v>88</v>
      </c>
      <c r="C19" s="57">
        <v>2272.39</v>
      </c>
      <c r="D19" s="58">
        <v>9999</v>
      </c>
      <c r="E19" s="59"/>
      <c r="F19" s="60">
        <f t="shared" si="0"/>
        <v>0</v>
      </c>
      <c r="G19" s="61" t="str">
        <f>IF(F19=0,"",F19)</f>
        <v/>
      </c>
      <c r="H19" s="93"/>
      <c r="I19" s="60">
        <f t="shared" si="2"/>
        <v>0</v>
      </c>
      <c r="J19" s="62" t="str">
        <f>IF(I19=0,"",I19)</f>
        <v/>
      </c>
      <c r="L19" s="25"/>
    </row>
    <row r="20" spans="1:15" x14ac:dyDescent="0.2">
      <c r="A20" s="52" t="s">
        <v>91</v>
      </c>
      <c r="B20" s="68"/>
      <c r="C20" s="54"/>
      <c r="D20" s="54"/>
      <c r="E20" s="54"/>
      <c r="F20" s="54"/>
      <c r="G20" s="69"/>
      <c r="H20" s="69"/>
      <c r="I20" s="70"/>
      <c r="J20" s="70"/>
    </row>
    <row r="21" spans="1:15" x14ac:dyDescent="0.2">
      <c r="A21" s="56" t="s">
        <v>92</v>
      </c>
      <c r="B21" s="31" t="s">
        <v>93</v>
      </c>
      <c r="C21" s="57">
        <v>707.27</v>
      </c>
      <c r="D21" s="58">
        <v>7999</v>
      </c>
      <c r="E21" s="71"/>
      <c r="F21" s="60">
        <f t="shared" si="0"/>
        <v>0</v>
      </c>
      <c r="G21" s="72" t="str">
        <f>IF(F21=0,"",F21)</f>
        <v/>
      </c>
      <c r="H21" s="91"/>
      <c r="I21" s="60">
        <f t="shared" si="2"/>
        <v>0</v>
      </c>
      <c r="J21" s="62" t="str">
        <f>IF(I21=0,"",I21)</f>
        <v/>
      </c>
    </row>
    <row r="22" spans="1:15" x14ac:dyDescent="0.2">
      <c r="A22" s="56" t="s">
        <v>94</v>
      </c>
      <c r="B22" s="73" t="s">
        <v>86</v>
      </c>
      <c r="C22" s="32" t="s">
        <v>86</v>
      </c>
      <c r="D22" s="73" t="s">
        <v>86</v>
      </c>
      <c r="E22" s="73" t="s">
        <v>86</v>
      </c>
      <c r="F22" s="32" t="s">
        <v>86</v>
      </c>
      <c r="G22" s="65" t="s">
        <v>86</v>
      </c>
      <c r="H22" s="65" t="s">
        <v>86</v>
      </c>
      <c r="I22" s="65" t="s">
        <v>86</v>
      </c>
      <c r="J22" s="65" t="s">
        <v>86</v>
      </c>
      <c r="L22" s="25"/>
    </row>
    <row r="23" spans="1:15" x14ac:dyDescent="0.2">
      <c r="A23" s="66" t="s">
        <v>95</v>
      </c>
      <c r="B23" s="31" t="s">
        <v>93</v>
      </c>
      <c r="C23" s="74">
        <v>322.25</v>
      </c>
      <c r="D23" s="58">
        <v>7999</v>
      </c>
      <c r="E23" s="71"/>
      <c r="F23" s="60">
        <f t="shared" si="0"/>
        <v>0</v>
      </c>
      <c r="G23" s="72" t="str">
        <f t="shared" ref="G23:G29" si="4">IF(F23=0,"",F23)</f>
        <v/>
      </c>
      <c r="H23" s="91"/>
      <c r="I23" s="60">
        <f t="shared" si="2"/>
        <v>0</v>
      </c>
      <c r="J23" s="62" t="str">
        <f t="shared" ref="J23:J29" si="5">IF(I23=0,"",I23)</f>
        <v/>
      </c>
    </row>
    <row r="24" spans="1:15" x14ac:dyDescent="0.2">
      <c r="A24" s="66" t="s">
        <v>96</v>
      </c>
      <c r="B24" s="31" t="s">
        <v>93</v>
      </c>
      <c r="C24" s="57">
        <v>596.59</v>
      </c>
      <c r="D24" s="58">
        <v>7999</v>
      </c>
      <c r="E24" s="75"/>
      <c r="F24" s="60">
        <f t="shared" si="0"/>
        <v>0</v>
      </c>
      <c r="G24" s="72" t="str">
        <f t="shared" si="4"/>
        <v/>
      </c>
      <c r="H24" s="91"/>
      <c r="I24" s="60">
        <f t="shared" si="2"/>
        <v>0</v>
      </c>
      <c r="J24" s="62" t="str">
        <f t="shared" si="5"/>
        <v/>
      </c>
      <c r="L24" s="25"/>
    </row>
    <row r="25" spans="1:15" x14ac:dyDescent="0.2">
      <c r="A25" s="66" t="s">
        <v>97</v>
      </c>
      <c r="B25" s="31" t="s">
        <v>93</v>
      </c>
      <c r="C25" s="57">
        <v>491.16</v>
      </c>
      <c r="D25" s="58">
        <v>7999</v>
      </c>
      <c r="E25" s="75"/>
      <c r="F25" s="60">
        <f t="shared" si="0"/>
        <v>0</v>
      </c>
      <c r="G25" s="72" t="str">
        <f t="shared" si="4"/>
        <v/>
      </c>
      <c r="H25" s="91"/>
      <c r="I25" s="60">
        <f t="shared" si="2"/>
        <v>0</v>
      </c>
      <c r="J25" s="62" t="str">
        <f t="shared" si="5"/>
        <v/>
      </c>
      <c r="L25" s="25"/>
    </row>
    <row r="26" spans="1:15" x14ac:dyDescent="0.2">
      <c r="A26" s="66" t="s">
        <v>98</v>
      </c>
      <c r="B26" s="31" t="s">
        <v>93</v>
      </c>
      <c r="C26" s="57">
        <v>340.41</v>
      </c>
      <c r="D26" s="58">
        <v>7999</v>
      </c>
      <c r="E26" s="75"/>
      <c r="F26" s="60">
        <f t="shared" si="0"/>
        <v>0</v>
      </c>
      <c r="G26" s="72" t="str">
        <f t="shared" si="4"/>
        <v/>
      </c>
      <c r="H26" s="91"/>
      <c r="I26" s="60">
        <f t="shared" si="2"/>
        <v>0</v>
      </c>
      <c r="J26" s="62" t="str">
        <f t="shared" si="5"/>
        <v/>
      </c>
      <c r="L26" s="25"/>
    </row>
    <row r="27" spans="1:15" x14ac:dyDescent="0.2">
      <c r="A27" s="66" t="s">
        <v>99</v>
      </c>
      <c r="B27" s="31" t="s">
        <v>93</v>
      </c>
      <c r="C27" s="57">
        <v>644.47</v>
      </c>
      <c r="D27" s="58">
        <v>7999</v>
      </c>
      <c r="E27" s="75"/>
      <c r="F27" s="60">
        <f t="shared" si="0"/>
        <v>0</v>
      </c>
      <c r="G27" s="72" t="str">
        <f t="shared" si="4"/>
        <v/>
      </c>
      <c r="H27" s="91"/>
      <c r="I27" s="60">
        <f t="shared" si="2"/>
        <v>0</v>
      </c>
      <c r="J27" s="62" t="str">
        <f t="shared" si="5"/>
        <v/>
      </c>
      <c r="L27" s="25"/>
    </row>
    <row r="28" spans="1:15" x14ac:dyDescent="0.2">
      <c r="A28" s="66" t="s">
        <v>100</v>
      </c>
      <c r="B28" s="31" t="s">
        <v>93</v>
      </c>
      <c r="C28" s="57">
        <v>2608.2800000000002</v>
      </c>
      <c r="D28" s="58">
        <v>9999</v>
      </c>
      <c r="E28" s="75"/>
      <c r="F28" s="60">
        <f t="shared" si="0"/>
        <v>0</v>
      </c>
      <c r="G28" s="72" t="str">
        <f t="shared" si="4"/>
        <v/>
      </c>
      <c r="H28" s="91"/>
      <c r="I28" s="60">
        <f t="shared" si="2"/>
        <v>0</v>
      </c>
      <c r="J28" s="62" t="str">
        <f t="shared" si="5"/>
        <v/>
      </c>
      <c r="L28" s="25"/>
    </row>
    <row r="29" spans="1:15" x14ac:dyDescent="0.2">
      <c r="A29" s="66" t="s">
        <v>101</v>
      </c>
      <c r="B29" s="31" t="s">
        <v>93</v>
      </c>
      <c r="C29" s="57">
        <v>303.5</v>
      </c>
      <c r="D29" s="58">
        <v>7999</v>
      </c>
      <c r="E29" s="75"/>
      <c r="F29" s="60">
        <f t="shared" si="0"/>
        <v>0</v>
      </c>
      <c r="G29" s="72" t="str">
        <f t="shared" si="4"/>
        <v/>
      </c>
      <c r="H29" s="91"/>
      <c r="I29" s="60">
        <f t="shared" si="2"/>
        <v>0</v>
      </c>
      <c r="J29" s="62" t="str">
        <f t="shared" si="5"/>
        <v/>
      </c>
      <c r="L29" s="25"/>
    </row>
    <row r="30" spans="1:15" x14ac:dyDescent="0.2">
      <c r="A30" s="56" t="s">
        <v>102</v>
      </c>
      <c r="B30" s="73" t="s">
        <v>86</v>
      </c>
      <c r="C30" s="32" t="s">
        <v>86</v>
      </c>
      <c r="D30" s="73" t="s">
        <v>86</v>
      </c>
      <c r="E30" s="73" t="s">
        <v>86</v>
      </c>
      <c r="F30" s="32" t="s">
        <v>86</v>
      </c>
      <c r="G30" s="65" t="s">
        <v>86</v>
      </c>
      <c r="H30" s="65" t="s">
        <v>86</v>
      </c>
      <c r="I30" s="65" t="s">
        <v>86</v>
      </c>
      <c r="J30" s="65" t="s">
        <v>86</v>
      </c>
      <c r="L30" s="25"/>
    </row>
    <row r="31" spans="1:15" x14ac:dyDescent="0.2">
      <c r="A31" s="66" t="s">
        <v>103</v>
      </c>
      <c r="B31" s="31" t="s">
        <v>93</v>
      </c>
      <c r="C31" s="57">
        <v>86.72</v>
      </c>
      <c r="D31" s="58">
        <v>7999</v>
      </c>
      <c r="E31" s="71"/>
      <c r="F31" s="60">
        <f t="shared" si="0"/>
        <v>0</v>
      </c>
      <c r="G31" s="72" t="str">
        <f>IF(F31=0,"",F31)</f>
        <v/>
      </c>
      <c r="H31" s="91"/>
      <c r="I31" s="60">
        <f t="shared" si="2"/>
        <v>0</v>
      </c>
      <c r="J31" s="62" t="str">
        <f t="shared" ref="J31:J33" si="6">IF(I31=0,"",I31)</f>
        <v/>
      </c>
    </row>
    <row r="32" spans="1:15" x14ac:dyDescent="0.2">
      <c r="A32" s="66" t="s">
        <v>104</v>
      </c>
      <c r="B32" s="31" t="s">
        <v>93</v>
      </c>
      <c r="C32" s="57">
        <v>74.5</v>
      </c>
      <c r="D32" s="58">
        <v>7999</v>
      </c>
      <c r="E32" s="75"/>
      <c r="F32" s="60">
        <f t="shared" si="0"/>
        <v>0</v>
      </c>
      <c r="G32" s="72" t="str">
        <f>IF(F32=0,"",F32)</f>
        <v/>
      </c>
      <c r="H32" s="91"/>
      <c r="I32" s="60">
        <f t="shared" si="2"/>
        <v>0</v>
      </c>
      <c r="J32" s="62" t="str">
        <f t="shared" si="6"/>
        <v/>
      </c>
      <c r="L32" s="25"/>
    </row>
    <row r="33" spans="1:12" x14ac:dyDescent="0.2">
      <c r="A33" s="66" t="s">
        <v>105</v>
      </c>
      <c r="B33" s="31" t="s">
        <v>93</v>
      </c>
      <c r="C33" s="57">
        <v>58.5</v>
      </c>
      <c r="D33" s="58">
        <v>7999</v>
      </c>
      <c r="E33" s="75"/>
      <c r="F33" s="60">
        <f t="shared" si="0"/>
        <v>0</v>
      </c>
      <c r="G33" s="72" t="str">
        <f>IF(F33=0,"",F33)</f>
        <v/>
      </c>
      <c r="H33" s="91"/>
      <c r="I33" s="60">
        <f t="shared" si="2"/>
        <v>0</v>
      </c>
      <c r="J33" s="62" t="str">
        <f t="shared" si="6"/>
        <v/>
      </c>
      <c r="L33" s="25"/>
    </row>
    <row r="34" spans="1:12" x14ac:dyDescent="0.2">
      <c r="A34" s="56" t="s">
        <v>106</v>
      </c>
      <c r="B34" s="73" t="s">
        <v>86</v>
      </c>
      <c r="C34" s="32" t="s">
        <v>86</v>
      </c>
      <c r="D34" s="73" t="s">
        <v>86</v>
      </c>
      <c r="E34" s="73" t="s">
        <v>86</v>
      </c>
      <c r="F34" s="32" t="s">
        <v>86</v>
      </c>
      <c r="G34" s="65" t="s">
        <v>86</v>
      </c>
      <c r="H34" s="65" t="s">
        <v>86</v>
      </c>
      <c r="I34" s="65" t="s">
        <v>86</v>
      </c>
      <c r="J34" s="65" t="s">
        <v>86</v>
      </c>
      <c r="L34" s="25"/>
    </row>
    <row r="35" spans="1:12" x14ac:dyDescent="0.2">
      <c r="A35" s="66" t="s">
        <v>107</v>
      </c>
      <c r="B35" s="31" t="s">
        <v>93</v>
      </c>
      <c r="C35" s="57">
        <v>207</v>
      </c>
      <c r="D35" s="58">
        <v>7999</v>
      </c>
      <c r="E35" s="71"/>
      <c r="F35" s="60">
        <f t="shared" si="0"/>
        <v>0</v>
      </c>
      <c r="G35" s="72" t="str">
        <f>IF(F35=0,"",F35)</f>
        <v/>
      </c>
      <c r="H35" s="91"/>
      <c r="I35" s="60">
        <f t="shared" si="2"/>
        <v>0</v>
      </c>
      <c r="J35" s="62" t="str">
        <f t="shared" ref="J35:J36" si="7">IF(I35=0,"",I35)</f>
        <v/>
      </c>
      <c r="K35" s="86">
        <f>Tabuľka1[[#This Row],[počet/výmera podľa podnikateľského plánu]]*Tabuľka1[[#This Row],[Hodnota štandardného výstupu v EUR na mernú jednotku]]</f>
        <v>0</v>
      </c>
    </row>
    <row r="36" spans="1:12" x14ac:dyDescent="0.2">
      <c r="A36" s="66" t="s">
        <v>108</v>
      </c>
      <c r="B36" s="31" t="s">
        <v>93</v>
      </c>
      <c r="C36" s="57">
        <v>181</v>
      </c>
      <c r="D36" s="58">
        <v>7999</v>
      </c>
      <c r="E36" s="75"/>
      <c r="F36" s="60">
        <f t="shared" si="0"/>
        <v>0</v>
      </c>
      <c r="G36" s="72" t="str">
        <f>IF(F36=0,"",F36)</f>
        <v/>
      </c>
      <c r="H36" s="91"/>
      <c r="I36" s="60">
        <f t="shared" si="2"/>
        <v>0</v>
      </c>
      <c r="J36" s="62" t="str">
        <f t="shared" si="7"/>
        <v/>
      </c>
      <c r="K36" s="86"/>
      <c r="L36" s="25"/>
    </row>
    <row r="37" spans="1:12" x14ac:dyDescent="0.2">
      <c r="A37" s="56" t="s">
        <v>109</v>
      </c>
      <c r="B37" s="73" t="s">
        <v>86</v>
      </c>
      <c r="C37" s="32" t="s">
        <v>86</v>
      </c>
      <c r="D37" s="73" t="s">
        <v>86</v>
      </c>
      <c r="E37" s="73" t="s">
        <v>86</v>
      </c>
      <c r="F37" s="32" t="s">
        <v>86</v>
      </c>
      <c r="G37" s="65" t="s">
        <v>86</v>
      </c>
      <c r="H37" s="65" t="s">
        <v>86</v>
      </c>
      <c r="I37" s="65" t="s">
        <v>86</v>
      </c>
      <c r="J37" s="65" t="s">
        <v>86</v>
      </c>
      <c r="L37" s="25"/>
    </row>
    <row r="38" spans="1:12" x14ac:dyDescent="0.2">
      <c r="A38" s="66" t="s">
        <v>131</v>
      </c>
      <c r="B38" s="31" t="s">
        <v>93</v>
      </c>
      <c r="C38" s="57">
        <v>63.31</v>
      </c>
      <c r="D38" s="58">
        <v>7999</v>
      </c>
      <c r="E38" s="75"/>
      <c r="F38" s="60">
        <f t="shared" si="0"/>
        <v>0</v>
      </c>
      <c r="G38" s="72" t="str">
        <f>IF(F38=0,"",F38)</f>
        <v/>
      </c>
      <c r="H38" s="91"/>
      <c r="I38" s="60">
        <f t="shared" si="2"/>
        <v>0</v>
      </c>
      <c r="J38" s="62" t="str">
        <f t="shared" ref="J38:J40" si="8">IF(I38=0,"",I38)</f>
        <v/>
      </c>
      <c r="L38" s="25"/>
    </row>
    <row r="39" spans="1:12" x14ac:dyDescent="0.2">
      <c r="A39" s="66" t="s">
        <v>110</v>
      </c>
      <c r="B39" s="31" t="s">
        <v>93</v>
      </c>
      <c r="C39" s="57">
        <v>840.6</v>
      </c>
      <c r="D39" s="58">
        <v>7999</v>
      </c>
      <c r="E39" s="71"/>
      <c r="F39" s="60">
        <f t="shared" si="0"/>
        <v>0</v>
      </c>
      <c r="G39" s="72" t="str">
        <f>IF(F39=0,"",F39)</f>
        <v/>
      </c>
      <c r="H39" s="91"/>
      <c r="I39" s="60">
        <f t="shared" si="2"/>
        <v>0</v>
      </c>
      <c r="J39" s="62" t="str">
        <f t="shared" si="8"/>
        <v/>
      </c>
      <c r="K39" s="86"/>
    </row>
    <row r="40" spans="1:12" x14ac:dyDescent="0.2">
      <c r="A40" s="66" t="s">
        <v>111</v>
      </c>
      <c r="B40" s="31" t="s">
        <v>93</v>
      </c>
      <c r="C40" s="57">
        <v>213.3</v>
      </c>
      <c r="D40" s="58">
        <v>7999</v>
      </c>
      <c r="E40" s="75"/>
      <c r="F40" s="60">
        <f t="shared" si="0"/>
        <v>0</v>
      </c>
      <c r="G40" s="72" t="str">
        <f>IF(F40=0,"",F40)</f>
        <v/>
      </c>
      <c r="H40" s="91"/>
      <c r="I40" s="60">
        <f t="shared" si="2"/>
        <v>0</v>
      </c>
      <c r="J40" s="62" t="str">
        <f t="shared" si="8"/>
        <v/>
      </c>
      <c r="L40" s="25"/>
    </row>
    <row r="41" spans="1:12" x14ac:dyDescent="0.2">
      <c r="A41" s="56" t="s">
        <v>112</v>
      </c>
      <c r="B41" s="31" t="s">
        <v>86</v>
      </c>
      <c r="C41" s="32" t="s">
        <v>86</v>
      </c>
      <c r="D41" s="31" t="s">
        <v>86</v>
      </c>
      <c r="E41" s="31" t="s">
        <v>86</v>
      </c>
      <c r="F41" s="31" t="s">
        <v>86</v>
      </c>
      <c r="G41" s="76" t="s">
        <v>86</v>
      </c>
      <c r="H41" s="65" t="s">
        <v>86</v>
      </c>
      <c r="I41" s="65" t="s">
        <v>86</v>
      </c>
      <c r="J41" s="65" t="s">
        <v>86</v>
      </c>
      <c r="L41" s="25"/>
    </row>
    <row r="42" spans="1:12" x14ac:dyDescent="0.2">
      <c r="A42" s="66" t="s">
        <v>113</v>
      </c>
      <c r="B42" s="31" t="s">
        <v>93</v>
      </c>
      <c r="C42" s="57">
        <v>10.77</v>
      </c>
      <c r="D42" s="58">
        <v>7999</v>
      </c>
      <c r="E42" s="75"/>
      <c r="F42" s="60">
        <f t="shared" si="0"/>
        <v>0</v>
      </c>
      <c r="G42" s="72" t="str">
        <f t="shared" ref="G42:G49" si="9">IF(F42=0,"",F42)</f>
        <v/>
      </c>
      <c r="H42" s="91"/>
      <c r="I42" s="60">
        <f t="shared" si="2"/>
        <v>0</v>
      </c>
      <c r="J42" s="62" t="str">
        <f t="shared" ref="J42:J49" si="10">IF(I42=0,"",I42)</f>
        <v/>
      </c>
      <c r="L42" s="25"/>
    </row>
    <row r="43" spans="1:12" x14ac:dyDescent="0.2">
      <c r="A43" s="66" t="s">
        <v>114</v>
      </c>
      <c r="B43" s="31" t="s">
        <v>93</v>
      </c>
      <c r="C43" s="57">
        <v>17.79</v>
      </c>
      <c r="D43" s="58">
        <v>7999</v>
      </c>
      <c r="E43" s="71"/>
      <c r="F43" s="60">
        <f t="shared" si="0"/>
        <v>0</v>
      </c>
      <c r="G43" s="72" t="str">
        <f t="shared" si="9"/>
        <v/>
      </c>
      <c r="H43" s="91"/>
      <c r="I43" s="60">
        <f t="shared" si="2"/>
        <v>0</v>
      </c>
      <c r="J43" s="62" t="str">
        <f t="shared" si="10"/>
        <v/>
      </c>
    </row>
    <row r="44" spans="1:12" x14ac:dyDescent="0.2">
      <c r="A44" s="66" t="s">
        <v>115</v>
      </c>
      <c r="B44" s="31" t="s">
        <v>93</v>
      </c>
      <c r="C44" s="57">
        <v>14.95</v>
      </c>
      <c r="D44" s="58">
        <v>7999</v>
      </c>
      <c r="E44" s="75"/>
      <c r="F44" s="60">
        <f t="shared" si="0"/>
        <v>0</v>
      </c>
      <c r="G44" s="72" t="str">
        <f t="shared" si="9"/>
        <v/>
      </c>
      <c r="H44" s="91"/>
      <c r="I44" s="60">
        <f t="shared" si="2"/>
        <v>0</v>
      </c>
      <c r="J44" s="62" t="str">
        <f t="shared" si="10"/>
        <v/>
      </c>
      <c r="K44" s="86"/>
      <c r="L44" s="25"/>
    </row>
    <row r="45" spans="1:12" x14ac:dyDescent="0.2">
      <c r="A45" s="66" t="s">
        <v>116</v>
      </c>
      <c r="B45" s="31" t="s">
        <v>93</v>
      </c>
      <c r="C45" s="57">
        <v>14.95</v>
      </c>
      <c r="D45" s="58">
        <v>7999</v>
      </c>
      <c r="E45" s="75"/>
      <c r="F45" s="60">
        <f t="shared" si="0"/>
        <v>0</v>
      </c>
      <c r="G45" s="72" t="str">
        <f t="shared" si="9"/>
        <v/>
      </c>
      <c r="H45" s="91"/>
      <c r="I45" s="60">
        <f t="shared" si="2"/>
        <v>0</v>
      </c>
      <c r="J45" s="62" t="str">
        <f t="shared" si="10"/>
        <v/>
      </c>
      <c r="L45" s="25"/>
    </row>
    <row r="46" spans="1:12" x14ac:dyDescent="0.2">
      <c r="A46" s="66" t="s">
        <v>117</v>
      </c>
      <c r="B46" s="31" t="s">
        <v>93</v>
      </c>
      <c r="C46" s="57">
        <v>14.95</v>
      </c>
      <c r="D46" s="58">
        <v>7999</v>
      </c>
      <c r="E46" s="75"/>
      <c r="F46" s="60">
        <f t="shared" si="0"/>
        <v>0</v>
      </c>
      <c r="G46" s="72" t="str">
        <f t="shared" si="9"/>
        <v/>
      </c>
      <c r="H46" s="91"/>
      <c r="I46" s="60">
        <f t="shared" si="2"/>
        <v>0</v>
      </c>
      <c r="J46" s="62" t="str">
        <f t="shared" si="10"/>
        <v/>
      </c>
      <c r="K46" s="86"/>
      <c r="L46" s="25"/>
    </row>
    <row r="47" spans="1:12" x14ac:dyDescent="0.2">
      <c r="A47" s="66" t="s">
        <v>118</v>
      </c>
      <c r="B47" s="31" t="s">
        <v>93</v>
      </c>
      <c r="C47" s="57">
        <v>14.95</v>
      </c>
      <c r="D47" s="58">
        <v>7999</v>
      </c>
      <c r="E47" s="75"/>
      <c r="F47" s="60">
        <f t="shared" si="0"/>
        <v>0</v>
      </c>
      <c r="G47" s="72" t="str">
        <f t="shared" si="9"/>
        <v/>
      </c>
      <c r="H47" s="91"/>
      <c r="I47" s="60">
        <f t="shared" si="2"/>
        <v>0</v>
      </c>
      <c r="J47" s="62" t="str">
        <f t="shared" si="10"/>
        <v/>
      </c>
      <c r="L47" s="25"/>
    </row>
    <row r="48" spans="1:12" x14ac:dyDescent="0.2">
      <c r="A48" s="56" t="s">
        <v>119</v>
      </c>
      <c r="B48" s="31" t="s">
        <v>93</v>
      </c>
      <c r="C48" s="57">
        <v>50</v>
      </c>
      <c r="D48" s="58">
        <v>7999</v>
      </c>
      <c r="E48" s="75"/>
      <c r="F48" s="60">
        <f t="shared" si="0"/>
        <v>0</v>
      </c>
      <c r="G48" s="72" t="str">
        <f t="shared" si="9"/>
        <v/>
      </c>
      <c r="H48" s="91"/>
      <c r="I48" s="60">
        <f t="shared" si="2"/>
        <v>0</v>
      </c>
      <c r="J48" s="62" t="str">
        <f t="shared" si="10"/>
        <v/>
      </c>
      <c r="L48" s="25"/>
    </row>
    <row r="49" spans="1:12" x14ac:dyDescent="0.2">
      <c r="A49" s="77" t="s">
        <v>129</v>
      </c>
      <c r="B49" s="78" t="s">
        <v>93</v>
      </c>
      <c r="C49" s="79">
        <v>160</v>
      </c>
      <c r="D49" s="80">
        <v>7999</v>
      </c>
      <c r="E49" s="81"/>
      <c r="F49" s="82">
        <f t="shared" si="0"/>
        <v>0</v>
      </c>
      <c r="G49" s="83" t="str">
        <f t="shared" si="9"/>
        <v/>
      </c>
      <c r="H49" s="92"/>
      <c r="I49" s="60">
        <f t="shared" si="2"/>
        <v>0</v>
      </c>
      <c r="J49" s="62" t="str">
        <f t="shared" si="10"/>
        <v/>
      </c>
      <c r="L49" s="25"/>
    </row>
    <row r="52" spans="1:12" x14ac:dyDescent="0.2">
      <c r="L52" s="87" t="s">
        <v>221</v>
      </c>
    </row>
    <row r="53" spans="1:12" ht="18" customHeight="1" x14ac:dyDescent="0.2">
      <c r="A53" s="33" t="s">
        <v>130</v>
      </c>
      <c r="G53" s="34">
        <f>SUM(G10:G19)</f>
        <v>0</v>
      </c>
      <c r="H53" s="34"/>
      <c r="I53" s="34"/>
      <c r="J53" s="34">
        <f>SUM(J10:J19)</f>
        <v>0</v>
      </c>
      <c r="L53" s="88">
        <f>SUM(J35,J36,J39,J44,J46)</f>
        <v>0</v>
      </c>
    </row>
    <row r="54" spans="1:12" s="33" customFormat="1" ht="18" customHeight="1" x14ac:dyDescent="0.2">
      <c r="A54" s="35" t="s">
        <v>220</v>
      </c>
      <c r="B54" s="35"/>
      <c r="C54" s="35"/>
      <c r="D54" s="35"/>
      <c r="E54" s="35"/>
      <c r="F54" s="35"/>
      <c r="G54" s="36"/>
      <c r="H54" s="36"/>
      <c r="I54" s="36"/>
      <c r="J54" s="36">
        <f>SUM(J15,J10:J11)</f>
        <v>0</v>
      </c>
    </row>
    <row r="55" spans="1:12" s="33" customFormat="1" ht="18" customHeight="1" x14ac:dyDescent="0.2">
      <c r="A55" s="35" t="s">
        <v>120</v>
      </c>
      <c r="B55" s="35"/>
      <c r="C55" s="35"/>
      <c r="D55" s="35"/>
      <c r="E55" s="35"/>
      <c r="F55" s="35"/>
      <c r="G55" s="36">
        <f>SUM(G21:G49)</f>
        <v>0</v>
      </c>
      <c r="H55" s="36"/>
      <c r="I55" s="36"/>
      <c r="J55" s="36">
        <f>SUM(J21:J49)</f>
        <v>0</v>
      </c>
    </row>
    <row r="56" spans="1:12" s="33" customFormat="1" ht="18" customHeight="1" x14ac:dyDescent="0.2">
      <c r="A56" s="37" t="s">
        <v>121</v>
      </c>
      <c r="B56" s="35"/>
      <c r="C56" s="35"/>
      <c r="D56" s="35"/>
      <c r="E56" s="35"/>
      <c r="F56" s="35"/>
      <c r="G56" s="36">
        <f>G53+G55</f>
        <v>0</v>
      </c>
      <c r="H56" s="36"/>
      <c r="I56" s="36"/>
      <c r="J56" s="36">
        <f>J53+J55</f>
        <v>0</v>
      </c>
    </row>
    <row r="57" spans="1:12" s="33" customFormat="1" ht="18" customHeight="1" x14ac:dyDescent="0.2">
      <c r="A57" s="38"/>
      <c r="B57" s="35"/>
      <c r="C57" s="35"/>
      <c r="D57" s="35"/>
      <c r="E57" s="35"/>
      <c r="F57" s="35"/>
      <c r="G57" s="36"/>
      <c r="H57" s="36"/>
      <c r="I57" s="36"/>
      <c r="J57" s="36"/>
    </row>
    <row r="58" spans="1:12" s="33" customFormat="1" ht="18" customHeight="1" x14ac:dyDescent="0.2">
      <c r="A58" s="38" t="s">
        <v>176</v>
      </c>
      <c r="B58" s="35"/>
      <c r="C58" s="36">
        <f>IFERROR(N10,0)</f>
        <v>0</v>
      </c>
      <c r="D58" s="35"/>
      <c r="E58" s="35"/>
      <c r="F58" s="35"/>
      <c r="G58" s="36"/>
      <c r="H58" s="36"/>
      <c r="I58" s="36"/>
      <c r="J58" s="36"/>
    </row>
    <row r="59" spans="1:12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2" x14ac:dyDescent="0.2">
      <c r="A60" s="38" t="s">
        <v>169</v>
      </c>
      <c r="B60" s="276" t="str">
        <f>IF(N11=0,"nie sú vyplnené hodnoty v čase predloženia ŽoNFP",N15)</f>
        <v>nie sú vyplnené hodnoty v čase predloženia ŽoNFP</v>
      </c>
      <c r="C60" s="276"/>
      <c r="D60" s="276"/>
      <c r="E60" s="276"/>
      <c r="F60" s="276"/>
      <c r="G60" s="276"/>
      <c r="H60" s="47"/>
      <c r="I60" s="47"/>
      <c r="J60" s="47"/>
    </row>
    <row r="61" spans="1:12" ht="12.75" customHeight="1" x14ac:dyDescent="0.2">
      <c r="A61" s="38" t="s">
        <v>175</v>
      </c>
      <c r="B61" s="281" t="str">
        <f>IF(J56=0,"nie sú vyplnené hodnoty podľa podnikateľského plánu",IF(J56&lt;4000,"nedosiahnutie minimálnej hodnoty štandardného výstupu",IF(J56&lt;G56,"nedosiahnutie minimálnej hodnoty štandardného výstupu v čase predloženia ŽoNFP","štandardný výstup dosiahnutý")))</f>
        <v>nie sú vyplnené hodnoty podľa podnikateľského plánu</v>
      </c>
      <c r="C61" s="281"/>
      <c r="D61" s="281"/>
      <c r="E61" s="281"/>
      <c r="F61" s="281"/>
      <c r="G61" s="281"/>
    </row>
    <row r="63" spans="1:12" x14ac:dyDescent="0.2">
      <c r="E63" s="273"/>
      <c r="F63" s="273"/>
      <c r="G63" s="273"/>
      <c r="H63" s="44"/>
      <c r="I63" s="44"/>
      <c r="J63" s="44"/>
    </row>
    <row r="64" spans="1:12" ht="27.75" customHeight="1" x14ac:dyDescent="0.2">
      <c r="A64" s="274"/>
      <c r="B64" s="274"/>
      <c r="C64" s="274"/>
      <c r="D64" s="40"/>
      <c r="E64" s="274"/>
      <c r="F64" s="274"/>
      <c r="G64" s="274"/>
      <c r="H64" s="45"/>
      <c r="I64" s="45"/>
      <c r="J64" s="45"/>
    </row>
    <row r="65" spans="1:10" ht="27.75" customHeight="1" x14ac:dyDescent="0.2">
      <c r="A65" s="275"/>
      <c r="B65" s="275"/>
      <c r="C65" s="275"/>
      <c r="D65" s="41"/>
      <c r="E65" s="275"/>
      <c r="F65" s="275"/>
      <c r="G65" s="275"/>
      <c r="H65" s="46"/>
      <c r="I65" s="46"/>
      <c r="J65" s="46"/>
    </row>
  </sheetData>
  <sheetProtection algorithmName="SHA-512" hashValue="c8XxoCqcqclqGBYgu0T4FGxXziNVOsjtXJmf62P9nS9zw/RGD6c2CZb8P1NPVu6ITblJ1NCaQi8FkeW2jBfqIw==" saltValue="N6TrUquKxb1BAFlqD1Ej1A==" spinCount="100000" sheet="1" objects="1" scenarios="1"/>
  <mergeCells count="10">
    <mergeCell ref="B60:G60"/>
    <mergeCell ref="B4:G4"/>
    <mergeCell ref="B5:C5"/>
    <mergeCell ref="B6:C6"/>
    <mergeCell ref="B61:G61"/>
    <mergeCell ref="E63:G63"/>
    <mergeCell ref="E64:G64"/>
    <mergeCell ref="E65:G65"/>
    <mergeCell ref="A64:C64"/>
    <mergeCell ref="A65:C65"/>
  </mergeCells>
  <conditionalFormatting sqref="B61">
    <cfRule type="cellIs" dxfId="22" priority="10" operator="equal">
      <formula>"nie sú vyplnené hodnoty podľa podnikateľského plánu"</formula>
    </cfRule>
  </conditionalFormatting>
  <conditionalFormatting sqref="B60">
    <cfRule type="cellIs" dxfId="21" priority="5" operator="equal">
      <formula>"nie sú vyplnené hodnoty v čase predloženia ŽoNFP"</formula>
    </cfRule>
    <cfRule type="cellIs" dxfId="20" priority="6" operator="equal">
      <formula>"štandardný výstup prekročený - nesplnenie podmienok"</formula>
    </cfRule>
    <cfRule type="cellIs" dxfId="19" priority="7" operator="equal">
      <formula>"nedosiahnutie minimálneho štandardného výstupu - nesplnenie podmienok"</formula>
    </cfRule>
  </conditionalFormatting>
  <conditionalFormatting sqref="B60:J60">
    <cfRule type="cellIs" dxfId="18" priority="4" operator="equal">
      <formula>"štandardný výstup dosiahnutý"</formula>
    </cfRule>
  </conditionalFormatting>
  <conditionalFormatting sqref="B61:G61">
    <cfRule type="cellIs" dxfId="17" priority="1" operator="equal">
      <formula>"nedosiahnutie minimálnej hodnoty štandardného výstupu"</formula>
    </cfRule>
    <cfRule type="cellIs" dxfId="16" priority="2" operator="equal">
      <formula>"štandardný výstup dosiahnutý"</formula>
    </cfRule>
    <cfRule type="cellIs" dxfId="15" priority="3" operator="equal">
      <formula>"nedosiahnutie minimálnej hodnoty štandardného výstupu v čase predloženia ŽoNFP"</formula>
    </cfRule>
  </conditionalFormatting>
  <dataValidations count="3">
    <dataValidation type="whole" allowBlank="1" showInputMessage="1" showErrorMessage="1" prompt="celé číslo" sqref="E42:E44 E35:E36 E38:E40 E23:E29 E31:E33 E21 H21 H23:H29 H31:H33 H35:H36 H38:H40 H42:H49">
      <formula1>0</formula1>
      <formula2>10000000</formula2>
    </dataValidation>
    <dataValidation type="whole" allowBlank="1" showInputMessage="1" showErrorMessage="1" prompt="celé číslo" sqref="E45:E49">
      <formula1>0</formula1>
      <formula2>100000000</formula2>
    </dataValidation>
    <dataValidation allowBlank="1" showInputMessage="1" showErrorMessage="1" prompt="celé číslo" sqref="E50"/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70" orientation="portrait" r:id="rId1"/>
  <ignoredErrors>
    <ignoredError sqref="G50 G30 G34 G37 G41 G22 G17 G1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6.3</vt:lpstr>
      <vt:lpstr>Nezamestanosť</vt:lpstr>
      <vt:lpstr>štandardný výstup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2017-10-03T05:11:29Z</cp:lastPrinted>
  <dcterms:created xsi:type="dcterms:W3CDTF">2015-06-24T06:51:40Z</dcterms:created>
  <dcterms:modified xsi:type="dcterms:W3CDTF">2017-12-13T05:29:14Z</dcterms:modified>
</cp:coreProperties>
</file>