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zma\Desktop\legislatíva\ŽoNFP\04.05.2015\ŽoNFP\4.1\final 04.06.2015\"/>
    </mc:Choice>
  </mc:AlternateContent>
  <bookViews>
    <workbookView xWindow="240" yWindow="105" windowWidth="20115" windowHeight="7755"/>
  </bookViews>
  <sheets>
    <sheet name="4.1_1" sheetId="1" r:id="rId1"/>
    <sheet name="Nezamestanosť" sheetId="2" r:id="rId2"/>
  </sheets>
  <definedNames>
    <definedName name="_edn1" localSheetId="0">'4.1_1'!$A$63</definedName>
    <definedName name="_edn2" localSheetId="0">'4.1_1'!$A$64</definedName>
    <definedName name="_edn3" localSheetId="0">'4.1_1'!$A$65</definedName>
    <definedName name="_edn4" localSheetId="0">'4.1_1'!$A$66</definedName>
    <definedName name="_edn5" localSheetId="0">'4.1_1'!$A$67</definedName>
    <definedName name="_edn6" localSheetId="0">'4.1_1'!$A$68</definedName>
    <definedName name="_edn7" localSheetId="0">'4.1_1'!$A$69</definedName>
    <definedName name="_ednref1" localSheetId="0">'4.1_1'!$B$11</definedName>
    <definedName name="_ednref2" localSheetId="0">'4.1_1'!$B$14</definedName>
    <definedName name="_ednref3" localSheetId="0">'4.1_1'!$B$15</definedName>
    <definedName name="_ednref4" localSheetId="0">'4.1_1'!$B$18</definedName>
    <definedName name="_ednref5" localSheetId="0">'4.1_1'!$B$20</definedName>
    <definedName name="_ednref6" localSheetId="0">'4.1_1'!#REF!</definedName>
    <definedName name="_ednref7" localSheetId="0">'4.1_1'!$B$48</definedName>
  </definedNames>
  <calcPr calcId="152511"/>
</workbook>
</file>

<file path=xl/calcChain.xml><?xml version="1.0" encoding="utf-8"?>
<calcChain xmlns="http://schemas.openxmlformats.org/spreadsheetml/2006/main">
  <c r="B66" i="1" l="1"/>
  <c r="B73" i="1"/>
  <c r="B72" i="1" l="1"/>
  <c r="B71" i="1"/>
  <c r="B70" i="1"/>
  <c r="B69" i="1"/>
  <c r="B68" i="1"/>
  <c r="B67" i="1"/>
  <c r="B64" i="1" l="1"/>
  <c r="B63" i="1"/>
  <c r="Q50" i="1" l="1"/>
  <c r="Q49" i="1"/>
  <c r="O49" i="1" l="1"/>
  <c r="P49" i="1" s="1"/>
  <c r="Q48" i="1" l="1"/>
  <c r="Q47" i="1"/>
  <c r="Q17" i="1" l="1"/>
  <c r="P51" i="1" l="1"/>
  <c r="O59" i="1" s="1"/>
  <c r="P59" i="1" s="1"/>
  <c r="Q59" i="1" s="1"/>
  <c r="Q33" i="1"/>
  <c r="O52" i="1" l="1"/>
  <c r="P52" i="1" s="1"/>
  <c r="O53" i="1"/>
  <c r="P53" i="1" s="1"/>
  <c r="Q53" i="1" s="1"/>
  <c r="O56" i="1"/>
  <c r="P56" i="1" s="1"/>
  <c r="Q56" i="1" s="1"/>
  <c r="O57" i="1"/>
  <c r="P57" i="1" s="1"/>
  <c r="Q57" i="1" s="1"/>
  <c r="O54" i="1"/>
  <c r="P54" i="1" s="1"/>
  <c r="Q54" i="1" s="1"/>
  <c r="O58" i="1"/>
  <c r="P58" i="1" s="1"/>
  <c r="Q58" i="1" s="1"/>
  <c r="O55" i="1"/>
  <c r="P55" i="1" s="1"/>
  <c r="Q55" i="1" s="1"/>
  <c r="S51" i="1" l="1"/>
  <c r="Q52" i="1"/>
  <c r="R53" i="1" s="1"/>
  <c r="R52" i="1" l="1"/>
  <c r="R54" i="1" l="1"/>
  <c r="R55" i="1" l="1"/>
  <c r="R56" i="1" l="1"/>
  <c r="R57" i="1" s="1"/>
  <c r="R58" i="1" l="1"/>
  <c r="R59" i="1" l="1"/>
  <c r="I49" i="1"/>
  <c r="Q32" i="1"/>
  <c r="R46" i="1" l="1"/>
  <c r="R32" i="1"/>
  <c r="I21" i="1" s="1"/>
  <c r="Q20" i="1"/>
  <c r="I20" i="1" s="1"/>
  <c r="I16" i="1"/>
  <c r="S46" i="1" l="1"/>
  <c r="I42" i="1" s="1"/>
  <c r="Q15" i="1"/>
  <c r="I15" i="1" s="1"/>
  <c r="D12" i="2" l="1"/>
  <c r="E12" i="2" s="1"/>
  <c r="F12" i="2" s="1"/>
  <c r="D13" i="2"/>
  <c r="E13" i="2" s="1"/>
  <c r="F13" i="2" s="1"/>
  <c r="D14" i="2"/>
  <c r="E14" i="2" s="1"/>
  <c r="F14" i="2" s="1"/>
  <c r="D15" i="2"/>
  <c r="E15" i="2" s="1"/>
  <c r="F15" i="2" s="1"/>
  <c r="D16" i="2"/>
  <c r="E16" i="2" s="1"/>
  <c r="F16" i="2" s="1"/>
  <c r="D17" i="2"/>
  <c r="E17" i="2" s="1"/>
  <c r="F17" i="2" s="1"/>
  <c r="D18" i="2"/>
  <c r="E18" i="2" s="1"/>
  <c r="F18" i="2" s="1"/>
  <c r="D19" i="2"/>
  <c r="E19" i="2" s="1"/>
  <c r="F19" i="2" s="1"/>
  <c r="D20" i="2"/>
  <c r="E20" i="2" s="1"/>
  <c r="F20" i="2" s="1"/>
  <c r="D21" i="2"/>
  <c r="E21" i="2" s="1"/>
  <c r="F21" i="2" s="1"/>
  <c r="D22" i="2"/>
  <c r="E22" i="2" s="1"/>
  <c r="F22" i="2" s="1"/>
  <c r="D23" i="2"/>
  <c r="E23" i="2" s="1"/>
  <c r="F23" i="2" s="1"/>
  <c r="D24" i="2"/>
  <c r="E24" i="2" s="1"/>
  <c r="F24" i="2" s="1"/>
  <c r="D25" i="2"/>
  <c r="E25" i="2" s="1"/>
  <c r="F25" i="2" s="1"/>
  <c r="D26" i="2"/>
  <c r="E26" i="2" s="1"/>
  <c r="F26" i="2" s="1"/>
  <c r="D27" i="2"/>
  <c r="E27" i="2" s="1"/>
  <c r="F27" i="2" s="1"/>
  <c r="D28" i="2"/>
  <c r="E28" i="2" s="1"/>
  <c r="F28" i="2" s="1"/>
  <c r="D29" i="2"/>
  <c r="E29" i="2" s="1"/>
  <c r="F29" i="2" s="1"/>
  <c r="D30" i="2"/>
  <c r="E30" i="2" s="1"/>
  <c r="F30" i="2" s="1"/>
  <c r="D31" i="2"/>
  <c r="E31" i="2" s="1"/>
  <c r="F31" i="2" s="1"/>
  <c r="D32" i="2"/>
  <c r="E32" i="2" s="1"/>
  <c r="F32" i="2" s="1"/>
  <c r="D33" i="2"/>
  <c r="E33" i="2" s="1"/>
  <c r="F33" i="2" s="1"/>
  <c r="D34" i="2"/>
  <c r="E34" i="2" s="1"/>
  <c r="F34" i="2" s="1"/>
  <c r="D35" i="2"/>
  <c r="E35" i="2" s="1"/>
  <c r="F35" i="2" s="1"/>
  <c r="D36" i="2"/>
  <c r="E36" i="2" s="1"/>
  <c r="F36" i="2" s="1"/>
  <c r="D37" i="2"/>
  <c r="E37" i="2" s="1"/>
  <c r="F37" i="2" s="1"/>
  <c r="D38" i="2"/>
  <c r="E38" i="2" s="1"/>
  <c r="F38" i="2" s="1"/>
  <c r="D39" i="2"/>
  <c r="E39" i="2" s="1"/>
  <c r="F39" i="2" s="1"/>
  <c r="D40" i="2"/>
  <c r="E40" i="2" s="1"/>
  <c r="F40" i="2" s="1"/>
  <c r="D11" i="2"/>
  <c r="E11" i="2" s="1"/>
  <c r="F11" i="2" s="1"/>
  <c r="G40" i="2" l="1"/>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H12" i="2" l="1"/>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I11" i="2" l="1"/>
  <c r="G11" i="2"/>
  <c r="H11" i="2" s="1"/>
  <c r="E43" i="2" l="1"/>
  <c r="F43" i="2"/>
  <c r="F44" i="2" l="1"/>
  <c r="E44" i="2" s="1"/>
  <c r="H13" i="1" s="1"/>
  <c r="I12" i="1" l="1"/>
  <c r="I58" i="1" s="1"/>
  <c r="B65" i="1"/>
</calcChain>
</file>

<file path=xl/comments1.xml><?xml version="1.0" encoding="utf-8"?>
<comments xmlns="http://schemas.openxmlformats.org/spreadsheetml/2006/main">
  <authors>
    <author>Kužma Emil</author>
  </authors>
  <commentList>
    <comment ref="H42" authorId="0" shapeId="0">
      <text>
        <r>
          <rPr>
            <b/>
            <sz val="8"/>
            <color indexed="81"/>
            <rFont val="Tahoma"/>
            <family val="2"/>
            <charset val="238"/>
          </rPr>
          <t xml:space="preserve">ÁNO </t>
        </r>
        <r>
          <rPr>
            <sz val="8"/>
            <color indexed="81"/>
            <rFont val="Tahoma"/>
            <family val="2"/>
            <charset val="238"/>
          </rPr>
          <t xml:space="preserve">= ekologické poľnohospodárstvo
</t>
        </r>
        <r>
          <rPr>
            <b/>
            <sz val="8"/>
            <color indexed="81"/>
            <rFont val="Tahoma"/>
            <family val="2"/>
            <charset val="238"/>
          </rPr>
          <t xml:space="preserve">NIE </t>
        </r>
        <r>
          <rPr>
            <sz val="8"/>
            <color indexed="81"/>
            <rFont val="Tahoma"/>
            <family val="2"/>
            <charset val="238"/>
          </rPr>
          <t>= základná intenzita</t>
        </r>
      </text>
    </comment>
  </commentList>
</comments>
</file>

<file path=xl/sharedStrings.xml><?xml version="1.0" encoding="utf-8"?>
<sst xmlns="http://schemas.openxmlformats.org/spreadsheetml/2006/main" count="189" uniqueCount="177">
  <si>
    <t>Žiadateľ</t>
  </si>
  <si>
    <t>IČO</t>
  </si>
  <si>
    <t>Výška OV</t>
  </si>
  <si>
    <t>Požadovaný NFP</t>
  </si>
  <si>
    <t>P.č.</t>
  </si>
  <si>
    <t>Kritérium</t>
  </si>
  <si>
    <t>Body</t>
  </si>
  <si>
    <t>Poznámka</t>
  </si>
  <si>
    <t>počet bodov</t>
  </si>
  <si>
    <t>1.</t>
  </si>
  <si>
    <t>2.</t>
  </si>
  <si>
    <t>Žiadateľ sa zaviaže, že súhlasí s nižšou intenzitou pomoci ako maximálna intenzita pomoci deklarovaná vo výzve nasledovne:</t>
  </si>
  <si>
    <t>3.</t>
  </si>
  <si>
    <t>4.</t>
  </si>
  <si>
    <t>x</t>
  </si>
  <si>
    <t>5.</t>
  </si>
  <si>
    <t>6.</t>
  </si>
  <si>
    <t>Projekt sa realizuje v okrese/okresoch:</t>
  </si>
  <si>
    <t>skryt</t>
  </si>
  <si>
    <t>Kraj - okres</t>
  </si>
  <si>
    <t>Okres</t>
  </si>
  <si>
    <t>Nezamestanosť</t>
  </si>
  <si>
    <t>kontrola</t>
  </si>
  <si>
    <t>kontrola1</t>
  </si>
  <si>
    <t>PRIEMER NEZAMESTNANOSŤ</t>
  </si>
  <si>
    <t>Územie</t>
  </si>
  <si>
    <t xml:space="preserve">             priemer</t>
  </si>
  <si>
    <t>BA - Bratislava I</t>
  </si>
  <si>
    <t>BA - Bratislava II</t>
  </si>
  <si>
    <t>BA - Bratislava III</t>
  </si>
  <si>
    <t>BA - Bratislava IV</t>
  </si>
  <si>
    <t>BA - Bratislava V</t>
  </si>
  <si>
    <t>BA - Malacky</t>
  </si>
  <si>
    <t>BA - Pezinok</t>
  </si>
  <si>
    <t>BA - Senec</t>
  </si>
  <si>
    <t>TT - Dunajská Streda</t>
  </si>
  <si>
    <t>TT - Galanta</t>
  </si>
  <si>
    <t>TT - Hlohovec</t>
  </si>
  <si>
    <t>TT - Piešťany</t>
  </si>
  <si>
    <t>TT - Senica</t>
  </si>
  <si>
    <t>TT - Skalica</t>
  </si>
  <si>
    <t>TT - Trnava</t>
  </si>
  <si>
    <t>TN - Bánovce nad Bebravou</t>
  </si>
  <si>
    <t>TN - Ilava</t>
  </si>
  <si>
    <t>TN - Myjava</t>
  </si>
  <si>
    <t>TN - Nové Mesto nad Váhom</t>
  </si>
  <si>
    <t>TN - Partizánske</t>
  </si>
  <si>
    <t>TN - Považská Bystrica</t>
  </si>
  <si>
    <t>TN - Prievidza</t>
  </si>
  <si>
    <t>TN - Púchov</t>
  </si>
  <si>
    <t>TN - Trenčín</t>
  </si>
  <si>
    <t>NR - Komárno</t>
  </si>
  <si>
    <t>NR - Levice</t>
  </si>
  <si>
    <t>NR - Nitra</t>
  </si>
  <si>
    <t>NR - Nové Zámky</t>
  </si>
  <si>
    <t>NR - Šaľa</t>
  </si>
  <si>
    <t>NR - Topoľčany</t>
  </si>
  <si>
    <t>NR - Zlaté Moravce</t>
  </si>
  <si>
    <t>ZA - Bytča</t>
  </si>
  <si>
    <t>ZA - Čadca</t>
  </si>
  <si>
    <t>ZA - Dolný Kubín</t>
  </si>
  <si>
    <t>ZA - Kysucké Nové Mesto</t>
  </si>
  <si>
    <t>ZA - Liptovský Mikuláš</t>
  </si>
  <si>
    <t>ZA - Martin</t>
  </si>
  <si>
    <t>ZA - Námestovo</t>
  </si>
  <si>
    <t>ZA - Ružomberok</t>
  </si>
  <si>
    <t>ZA - Turčianske Teplice</t>
  </si>
  <si>
    <t>ZA - Tvrdošín</t>
  </si>
  <si>
    <t>ZA - Žilina</t>
  </si>
  <si>
    <t>BB - Banská Bystrica</t>
  </si>
  <si>
    <t>BB - Banská Štiavnica</t>
  </si>
  <si>
    <t>BB - Brezno</t>
  </si>
  <si>
    <t>BB - Detva</t>
  </si>
  <si>
    <t>BB - Krupina</t>
  </si>
  <si>
    <t>BB - Lučenec</t>
  </si>
  <si>
    <t>BB - Poltár</t>
  </si>
  <si>
    <t>BB - Revúca</t>
  </si>
  <si>
    <r>
      <rPr>
        <b/>
        <sz val="9"/>
        <rFont val="Arial"/>
        <family val="2"/>
        <charset val="238"/>
      </rPr>
      <t xml:space="preserve">BB - </t>
    </r>
    <r>
      <rPr>
        <sz val="9"/>
        <rFont val="Arial"/>
        <family val="2"/>
        <charset val="238"/>
      </rPr>
      <t>Rimavská Sobota</t>
    </r>
  </si>
  <si>
    <t>BB - Veľký Krtíš</t>
  </si>
  <si>
    <t>BB - Zvolen</t>
  </si>
  <si>
    <t>BB - Žarnovica</t>
  </si>
  <si>
    <t>BB - Žiar nad Hronom</t>
  </si>
  <si>
    <t>PR - Bardejov</t>
  </si>
  <si>
    <t>PR - Humenné</t>
  </si>
  <si>
    <t>PR - Kežmarok</t>
  </si>
  <si>
    <t>PR - Levoča</t>
  </si>
  <si>
    <t>PR - Medzilaborce</t>
  </si>
  <si>
    <t>PR - Poprad</t>
  </si>
  <si>
    <t>PR - Prešov</t>
  </si>
  <si>
    <t>PR - Sabinov</t>
  </si>
  <si>
    <t>PR - Snina</t>
  </si>
  <si>
    <t>PR - Stará Ľubovňa</t>
  </si>
  <si>
    <t>PR - Stropkov</t>
  </si>
  <si>
    <t>PR - Svidník</t>
  </si>
  <si>
    <t>PR - Vranov nad Topľou</t>
  </si>
  <si>
    <t>KE - Gelnica</t>
  </si>
  <si>
    <t>KE - Košice I</t>
  </si>
  <si>
    <t>KE - Košice II</t>
  </si>
  <si>
    <t>KE - Košice III</t>
  </si>
  <si>
    <t>KE - Košice IV</t>
  </si>
  <si>
    <t>KE - Košice - okolie</t>
  </si>
  <si>
    <t>KE - Michalovce</t>
  </si>
  <si>
    <t>KE - Rožňava</t>
  </si>
  <si>
    <t>KE - Sobrance</t>
  </si>
  <si>
    <t>KE - Spišská Nová Ves</t>
  </si>
  <si>
    <t>KE - Trebišov</t>
  </si>
  <si>
    <t>Evidovaná miera nezamestnanosti v %</t>
  </si>
  <si>
    <t>Tabuľka č. 4</t>
  </si>
  <si>
    <t>NEZAMESTANOSŤ</t>
  </si>
  <si>
    <t>BODOVACIE KRITÉRIÁ</t>
  </si>
  <si>
    <t>Žiadateľ spĺňa aspoň jedno kritérium  ekonomickej životaschopnosti</t>
  </si>
  <si>
    <t>Žiadateľ spĺňa obidve kritériá ekonomickej životaschopnosti</t>
  </si>
  <si>
    <t>7.</t>
  </si>
  <si>
    <t>–        do 15 % vrátane</t>
  </si>
  <si>
    <t>–        nad 15 %</t>
  </si>
  <si>
    <t>A)    Pri žiadateľoch obhospodarujúcich poľnohospodársku pôdu na menej ako  50 ha vrátane:</t>
  </si>
  <si>
    <t>a)   max. vo výške 100 tis. EUR vrátane</t>
  </si>
  <si>
    <t>b)   max. vo výške 150 tis. EUR vrátane</t>
  </si>
  <si>
    <t>c)   max. vo výške 200 tis. EUR vrátane</t>
  </si>
  <si>
    <t>d)   nad 200 tis. EUR</t>
  </si>
  <si>
    <t>B)    Pri žiadateľoch obhospodarujúcich poľnohospodársku pôdu od 50 ha  do 100 ha vrátane:</t>
  </si>
  <si>
    <t>a)   max .vo výške 120 tis. EUR vrátane</t>
  </si>
  <si>
    <t>b)   max. vo výške 180 tis. EUR vrátane</t>
  </si>
  <si>
    <t>c)   max. vo výške 220 tis. EUR vrátane</t>
  </si>
  <si>
    <t>d)   nad 220 tis. EUR</t>
  </si>
  <si>
    <t>C)    Pri žiadateľoch obhospodarujúcich poľnohospodársku pôdu na viac ako 100 ha  :</t>
  </si>
  <si>
    <t>a)   max. vo výške 150 tis. EUR vrátane</t>
  </si>
  <si>
    <t>b)   max. vo výške 200 tis. EUR vrátane</t>
  </si>
  <si>
    <t>c)   max. vo výške 250 tis. EUR vrátane</t>
  </si>
  <si>
    <t>d)   nad 250 tis. EUR</t>
  </si>
  <si>
    <t>D)    Pri žiadateľoch, ktorých predmetom projektu je len zriadenie nového sadu alebo výstavba skleníkov alebo fóliovníkov vrátane technológií a  bez strojov, automobilov a  náradia:</t>
  </si>
  <si>
    <t>a)   max. vo výške 250 tis. EUR vrátane</t>
  </si>
  <si>
    <t>b)   max. vo výške 400 tis. EUR vrátane</t>
  </si>
  <si>
    <t>c)   max. vo výške 500 tis. EUR vrátane</t>
  </si>
  <si>
    <t>d)   nad 500 tis. EUR</t>
  </si>
  <si>
    <t xml:space="preserve">A)    V prípade uplatnenia základnej intenzity: </t>
  </si>
  <si>
    <t>a)   intenzita pomoci nižšia  o 5%</t>
  </si>
  <si>
    <t>b)   intenzita pomoci nižšia  o 10 %</t>
  </si>
  <si>
    <t xml:space="preserve">B)    V prípade uplatnenia zvýšenej intenzity </t>
  </si>
  <si>
    <t>a)   intenzita pomoci nižšia  o 20%</t>
  </si>
  <si>
    <t>b)   intenzita pomoci nižšia  o 30 %</t>
  </si>
  <si>
    <t>a)   zriadenie ( výsadbu ) nových sadov a výstavbu nových skleníkov (fóliovníkov) na pestovanie ovocia a zeleniny vrátane technológie  a vrátane pozberovej úpravy a skladov</t>
  </si>
  <si>
    <t>b)   zriadenie ( výsadbu ) nových plantáží ovocia a chmeľníc, vrátane technológie a vrátane pozberovej úpravy a skladov</t>
  </si>
  <si>
    <t>c)   zriadenie ( výsadbu ) nových vinohradov  vrátane technológie  a vrátane pozberovej úpravy a skladov</t>
  </si>
  <si>
    <t>d)   rekonštrukciu a/alebo modernizáciu už  existujúcich skleníkov (fóliovníkov)  alebo sadov alebo vinohradov na pestovanie ovocia a zeleniny  alebo chmeľníc vrátane technológie  a vrátane pozberovej úpravy a skladov</t>
  </si>
  <si>
    <t>e)   na pestovanie liečivých  rastlín, zeleniny, zemiakov alebo maku,  vrátane technológie  a vrátane pozberovej úpravy a skladov</t>
  </si>
  <si>
    <t>f)    na pestovanie ostatných produktov špeciálnej rastlinnej výroby vrátane technológii a pozberovej úpravy a skladov</t>
  </si>
  <si>
    <t>g)   stroje, automobily a náradie spojené so špecializovanou rastlinnou výrobou</t>
  </si>
  <si>
    <t>h)   ostatné nezaradené v predchádzajúcich bodoch</t>
  </si>
  <si>
    <t>V prípade, ak sa projekt realizuje vo viacerých okresoch, body sa pridelia na základe nezamestnanosti vypočítanej aritmetickým priemerom z údajov nezamestnanosti všetkých okresov, kde sa projekt realizuje. Maximálny počet bodov je 10</t>
  </si>
  <si>
    <t xml:space="preserve">Vykazujú sa miesta súvisiace so samotnou realizáciou projektu nie celkové miesta v podniku. Za počiatočný stav sa berie stav pred investíciou.  Žiadateľ musí preukázateľne označovať uvedené miesta označením miesto PRV. Berie sa pracovné miesto na celý úväzok. V prípade čiastočných úväzkov resp. sezónnych zamestnancov sa metodika posudzovania uvedie vo výzve. Miesto sa musí vytvoriť najneskôr do 6 mesiacov od realizácie investície ( odo dňa predloženia ŽoP) </t>
  </si>
  <si>
    <t>Projekt sa realizuje v okrese s mierou  evidovanej nezamestnanosti k 31. 12. predchádzajúceho roka:</t>
  </si>
  <si>
    <t>Realizáciou projektu sa žiadateľ zaviaže zvýšiť počet pracovných miest  súvisiacich s projektom minimálne o 1 zamestnanca minimálne na 2 roky  a to najneskôr do 6 mesiacov od doby realizácie investície</t>
  </si>
  <si>
    <t>Posúdenie životaschopnosti platí aspoň za jeden rok z rokov 2013 alebo 2014. Spôsob uplatňovania bude stanovený  vo výzve. Maximálny počet bodov je 6</t>
  </si>
  <si>
    <t>Žiadateľ bol založený alebo vznikol po 1.1.2014, nemá ukončený žiadny celý rok činnosti a preto nevie preukázať ekonomickú životaschopnosť</t>
  </si>
  <si>
    <t>Žiadateľ uvedené popíše v žiadosti o NFP a v prípade  splnenia si uplatní 5 bodov.</t>
  </si>
  <si>
    <t>Projekt prispieva k hlavným cieľom PRV v rámci opatrenia 4.1 na základe analýzy potrieb -  zvýšeniu efektívnosti výroby, k zvýšeniu produkcie alebo k zvýšeniu kvality výrobkov resp. súvisí s pestovaním resp. výrobou  nových produktov</t>
  </si>
  <si>
    <t xml:space="preserve">Výmera obhospodarovanej pôdy sa bude brať podľa deklarovanej pôdy v žiadostiach pre priame platby za rok 2015. V prípade nepodania žiadosti na priame platby sa žiadateľ posudzuje ako žiadateľ obhospodarujúci pôdu na menej ako 50 ha. Do nákladov na zriadenie sadu resp. výstavby skleníkov podľa písm. D patria aj všetky technológie s tým súvisiace ( napr. zavlažovanie, vykurovanie, delá proti ľadovcu a pod.) siete, oplotenie, vnútorné komunikácie. Zároveň je tu možné ( do písmena D) započítať náklady na sklady a pozberovú úpravu ovocia a zeleniny, pokiaľ je predmetom projektu aj zriadenie sadu a výstavba skleníkov alebo fóliovníkov. Pokiaľ sú predmetom aj stroje, automobily alebo náradie body sa priznajú len podľa písmen A) až C). Za zriadenie nového sadu podľa D) sa počíta aj úplné vyklčovanie starého sadu a zriadenie nového sadu na jeho mieste. Maximálny počet bodov je 29. Body sú v každej skupine za písmená a) až d).
</t>
  </si>
  <si>
    <t>Deklarované oprávnené výdavky žiadateľom  v súvislosti s projektom sú:</t>
  </si>
  <si>
    <t>Žiadateľ v žiadosti deklaruje súhlas so znížením intenzity pomoci ak má o to záujem a na základe toho si prizná body. Presný spôsob výpočtu a uplatnenia zníženia intenzity pomoci prostredníctvom zníženia výšky podpory bude určený vo výzve. Zvýšená intenzita sa berie intenzita pri uplatnení zvýšenej intenzity za mladých a malých farmárov a pri ekologickom poľnohospodárstve. Maximálny počet bodov je 8.</t>
  </si>
  <si>
    <t>Na zaradenie do jednej z kategórie a) až g) je nutné aby minimálne 70 % deklarovaných  výdavkov projektu spadalo do jednej z týchto kategórii. Ak sa 70 % dosiahne viacerými kategóriami a) až g), žiadateľ si uvedie vážený aritmetický priemer. Sklady a pozberová úprava sa môže zarátať do kategórií a) až f) len v prípade, že deklarované oprávnené výdavky  na ne predstavujú menej ako 40 % deklarovaných  oprávnených výdavkov na danú kategóriu a) až f). Inak  sa započíta do kategórie h). V prípade, že žiadateľ nedosiahne    70 % v rámci kategórií a) až g) uvedie si body podľa kategórie h). Oprávnenosť strojov, automobilov a náradia súvisiaceho so špecializovanou rastlinnou výrobou bude popísaná vo výzve. Maximálny počet bodov je 38.</t>
  </si>
  <si>
    <t>Projekt je zameraný hlavne na :</t>
  </si>
  <si>
    <t>Výmera obhospodarovanej pôdy v ha</t>
  </si>
  <si>
    <t>Uplatnenie zvýšenej intenzity</t>
  </si>
  <si>
    <t>menej rozvinuté regiony</t>
  </si>
  <si>
    <t>ine regiony</t>
  </si>
  <si>
    <t>zakladne %</t>
  </si>
  <si>
    <t>zvysene %</t>
  </si>
  <si>
    <t>Miesto realizácie</t>
  </si>
  <si>
    <t>% podiel</t>
  </si>
  <si>
    <t>Spolu</t>
  </si>
  <si>
    <t>oprávnené výdavky</t>
  </si>
  <si>
    <t>Súčet bodov</t>
  </si>
  <si>
    <t>Žiadateľ nespĺňa ani jedno kritérum ekonomickej životaschopnosti</t>
  </si>
  <si>
    <t>Kontrola vyplnenia</t>
  </si>
  <si>
    <t>Tabuľka č. 5</t>
  </si>
  <si>
    <t>Špeciálna rastlinná výroba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</si>
</sst>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0"/>
      <color theme="1"/>
      <name val="Arial"/>
      <family val="2"/>
      <charset val="238"/>
    </font>
    <font>
      <sz val="10"/>
      <color theme="1"/>
      <name val="Arial"/>
      <family val="2"/>
      <charset val="238"/>
    </font>
    <font>
      <b/>
      <sz val="10"/>
      <color theme="1"/>
      <name val="Arial Narrow"/>
      <family val="2"/>
      <charset val="238"/>
    </font>
    <font>
      <b/>
      <sz val="10"/>
      <color theme="1"/>
      <name val="Arial"/>
      <family val="2"/>
      <charset val="238"/>
    </font>
    <font>
      <b/>
      <sz val="10"/>
      <name val="Arial Narrow"/>
      <family val="2"/>
      <charset val="238"/>
    </font>
    <font>
      <b/>
      <sz val="9"/>
      <name val="Arial"/>
      <family val="2"/>
      <charset val="238"/>
    </font>
    <font>
      <sz val="10"/>
      <color theme="1"/>
      <name val="Arial"/>
      <family val="2"/>
      <charset val="238"/>
    </font>
    <font>
      <sz val="10"/>
      <color theme="1"/>
      <name val="Arial Narrow"/>
      <family val="2"/>
      <charset val="238"/>
    </font>
    <font>
      <sz val="10"/>
      <name val="Arial CE"/>
      <charset val="238"/>
    </font>
    <font>
      <sz val="9"/>
      <name val="Arial"/>
      <family val="2"/>
      <charset val="238"/>
    </font>
    <font>
      <sz val="9"/>
      <color theme="1"/>
      <name val="Arial"/>
      <family val="2"/>
      <charset val="238"/>
    </font>
    <font>
      <b/>
      <sz val="9"/>
      <color theme="1"/>
      <name val="Arial"/>
      <family val="2"/>
      <charset val="238"/>
    </font>
    <font>
      <sz val="8"/>
      <color rgb="FF000000"/>
      <name val="Segoe UI"/>
      <family val="2"/>
      <charset val="238"/>
    </font>
    <font>
      <b/>
      <sz val="8"/>
      <color indexed="81"/>
      <name val="Tahoma"/>
      <family val="2"/>
      <charset val="238"/>
    </font>
    <font>
      <sz val="8"/>
      <color indexed="81"/>
      <name val="Tahoma"/>
      <family val="2"/>
      <charset val="238"/>
    </font>
    <font>
      <sz val="8"/>
      <color rgb="FF000000"/>
      <name val="Tahoma"/>
      <family val="2"/>
      <charset val="238"/>
    </font>
  </fonts>
  <fills count="8">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95B3D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126">
    <xf numFmtId="0" fontId="0" fillId="0" borderId="0" xfId="0"/>
    <xf numFmtId="0" fontId="3" fillId="0" borderId="1" xfId="0" applyFont="1" applyBorder="1" applyAlignment="1">
      <alignment vertical="center" wrapText="1"/>
    </xf>
    <xf numFmtId="4" fontId="4" fillId="0" borderId="0" xfId="0" applyNumberFormat="1" applyFont="1" applyBorder="1" applyAlignment="1" applyProtection="1">
      <alignment vertical="center" wrapText="1"/>
      <protection locked="0"/>
    </xf>
    <xf numFmtId="0" fontId="4" fillId="0" borderId="0" xfId="0" applyFont="1"/>
    <xf numFmtId="0" fontId="7" fillId="0" borderId="0" xfId="0" applyFont="1"/>
    <xf numFmtId="0" fontId="4" fillId="0" borderId="1" xfId="0" applyFont="1" applyBorder="1" applyAlignment="1">
      <alignment horizontal="center" vertical="center"/>
    </xf>
    <xf numFmtId="0" fontId="4" fillId="0" borderId="1" xfId="0" applyFont="1" applyBorder="1" applyAlignment="1">
      <alignment vertical="center" wrapText="1"/>
    </xf>
    <xf numFmtId="0" fontId="7" fillId="0" borderId="0" xfId="0" applyFont="1" applyProtection="1">
      <protection locked="0"/>
    </xf>
    <xf numFmtId="0" fontId="7" fillId="0" borderId="0" xfId="0" applyFont="1" applyAlignment="1">
      <alignment vertical="center"/>
    </xf>
    <xf numFmtId="0" fontId="8" fillId="0" borderId="0" xfId="0" applyFont="1"/>
    <xf numFmtId="0" fontId="3" fillId="0" borderId="1" xfId="0" applyFont="1" applyBorder="1" applyAlignment="1">
      <alignment horizontal="center" vertical="center"/>
    </xf>
    <xf numFmtId="0" fontId="3" fillId="0" borderId="0" xfId="0" applyFont="1" applyAlignment="1">
      <alignment vertical="center"/>
    </xf>
    <xf numFmtId="0" fontId="0" fillId="3" borderId="0" xfId="0" applyFill="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0" fillId="0" borderId="1" xfId="0" applyBorder="1"/>
    <xf numFmtId="0" fontId="0" fillId="3" borderId="0" xfId="0" applyFill="1"/>
    <xf numFmtId="4" fontId="8" fillId="3" borderId="0" xfId="0" applyNumberFormat="1" applyFont="1" applyFill="1"/>
    <xf numFmtId="0" fontId="8" fillId="3" borderId="0" xfId="0" applyFont="1" applyFill="1"/>
    <xf numFmtId="2" fontId="3" fillId="0" borderId="0" xfId="0" applyNumberFormat="1" applyFont="1" applyAlignment="1">
      <alignment vertical="center"/>
    </xf>
    <xf numFmtId="0" fontId="11" fillId="0" borderId="0" xfId="0" applyFont="1"/>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2" fillId="0" borderId="0" xfId="0" applyFont="1"/>
    <xf numFmtId="0" fontId="7" fillId="0" borderId="0" xfId="0" applyFont="1" applyFill="1" applyBorder="1" applyAlignment="1">
      <alignment vertical="center"/>
    </xf>
    <xf numFmtId="0" fontId="5" fillId="0" borderId="0"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5" xfId="0" applyFont="1" applyBorder="1" applyAlignment="1">
      <alignment horizontal="center" vertical="center"/>
    </xf>
    <xf numFmtId="0" fontId="7" fillId="0" borderId="0" xfId="0" applyFont="1" applyAlignment="1">
      <alignment horizontal="center" vertical="center"/>
    </xf>
    <xf numFmtId="4" fontId="4" fillId="0" borderId="0" xfId="0" applyNumberFormat="1"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9" xfId="0" applyFont="1" applyBorder="1"/>
    <xf numFmtId="0" fontId="7" fillId="0" borderId="9" xfId="0" applyNumberFormat="1" applyFont="1" applyBorder="1" applyAlignment="1">
      <alignment horizontal="center" vertical="center"/>
    </xf>
    <xf numFmtId="0" fontId="2" fillId="0" borderId="5" xfId="0" applyFont="1" applyBorder="1" applyAlignment="1">
      <alignment vertical="center" wrapText="1"/>
    </xf>
    <xf numFmtId="0" fontId="7" fillId="0" borderId="9" xfId="0" applyFont="1" applyBorder="1" applyAlignment="1">
      <alignment vertical="center" wrapText="1"/>
    </xf>
    <xf numFmtId="0" fontId="7" fillId="0" borderId="12" xfId="0" applyFont="1" applyBorder="1" applyAlignment="1">
      <alignment vertical="center" wrapText="1"/>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4" fillId="0" borderId="5" xfId="0" applyFont="1" applyFill="1" applyBorder="1" applyAlignment="1" applyProtection="1">
      <alignment horizontal="center" vertical="center"/>
      <protection hidden="1"/>
    </xf>
    <xf numFmtId="0" fontId="7" fillId="0" borderId="12" xfId="0" applyFont="1" applyFill="1" applyBorder="1" applyAlignment="1">
      <alignment horizontal="left" vertical="center" wrapText="1"/>
    </xf>
    <xf numFmtId="0" fontId="4" fillId="0" borderId="1"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7" borderId="1" xfId="0" applyFont="1" applyFill="1" applyBorder="1" applyAlignment="1">
      <alignment horizontal="center" vertical="center"/>
    </xf>
    <xf numFmtId="4" fontId="4" fillId="7" borderId="1" xfId="0" applyNumberFormat="1" applyFont="1" applyFill="1" applyBorder="1" applyAlignment="1" applyProtection="1">
      <alignment horizontal="center" vertical="center"/>
      <protection hidden="1"/>
    </xf>
    <xf numFmtId="0" fontId="11" fillId="0" borderId="5" xfId="0" applyFont="1" applyFill="1" applyBorder="1" applyAlignment="1">
      <alignment horizontal="left" vertical="center" wrapText="1"/>
    </xf>
    <xf numFmtId="0" fontId="2" fillId="0" borderId="12" xfId="0" applyFont="1" applyFill="1" applyBorder="1" applyAlignment="1">
      <alignment horizontal="left" vertical="center" wrapText="1"/>
    </xf>
    <xf numFmtId="4" fontId="4" fillId="0" borderId="12" xfId="0" applyNumberFormat="1" applyFont="1" applyFill="1" applyBorder="1" applyAlignment="1" applyProtection="1">
      <alignment vertical="center"/>
      <protection locked="0"/>
    </xf>
    <xf numFmtId="3" fontId="4" fillId="0" borderId="12" xfId="0" applyNumberFormat="1" applyFont="1" applyFill="1" applyBorder="1" applyAlignment="1" applyProtection="1">
      <alignment horizontal="center" vertical="center"/>
      <protection hidden="1"/>
    </xf>
    <xf numFmtId="0" fontId="10" fillId="4" borderId="0" xfId="0" applyFont="1" applyFill="1" applyBorder="1" applyAlignment="1" applyProtection="1">
      <alignment vertical="center"/>
      <protection locked="0" hidden="1"/>
    </xf>
    <xf numFmtId="0" fontId="7" fillId="0" borderId="0" xfId="0" applyFont="1" applyProtection="1">
      <protection locked="0" hidden="1"/>
    </xf>
    <xf numFmtId="0" fontId="10" fillId="0" borderId="0" xfId="0" applyFont="1" applyBorder="1" applyAlignment="1" applyProtection="1">
      <alignment vertical="center"/>
      <protection locked="0" hidden="1"/>
    </xf>
    <xf numFmtId="0" fontId="10" fillId="0" borderId="0" xfId="0" applyFont="1" applyBorder="1" applyAlignment="1" applyProtection="1">
      <alignment horizontal="center" vertical="center"/>
      <protection locked="0" hidden="1"/>
    </xf>
    <xf numFmtId="0" fontId="7" fillId="3" borderId="0" xfId="0" applyFont="1" applyFill="1" applyProtection="1">
      <protection locked="0" hidden="1"/>
    </xf>
    <xf numFmtId="0" fontId="7" fillId="0" borderId="0" xfId="0" applyFont="1" applyAlignment="1" applyProtection="1">
      <alignment vertical="center"/>
      <protection locked="0" hidden="1"/>
    </xf>
    <xf numFmtId="0" fontId="7" fillId="3" borderId="0" xfId="0" applyFont="1" applyFill="1" applyAlignment="1" applyProtection="1">
      <alignment vertical="center"/>
      <protection locked="0" hidden="1"/>
    </xf>
    <xf numFmtId="0" fontId="2" fillId="5" borderId="0" xfId="0" applyFont="1" applyFill="1" applyAlignment="1" applyProtection="1">
      <alignment horizontal="center" vertical="center"/>
      <protection locked="0" hidden="1"/>
    </xf>
    <xf numFmtId="0" fontId="2" fillId="6" borderId="0" xfId="0" applyFont="1" applyFill="1" applyAlignment="1" applyProtection="1">
      <alignment horizontal="center" vertical="center"/>
      <protection locked="0" hidden="1"/>
    </xf>
    <xf numFmtId="10" fontId="7" fillId="0" borderId="0" xfId="0" applyNumberFormat="1" applyFont="1" applyAlignment="1" applyProtection="1">
      <alignment horizontal="center" vertical="center"/>
      <protection locked="0" hidden="1"/>
    </xf>
    <xf numFmtId="0" fontId="1" fillId="3" borderId="0" xfId="0" applyFont="1" applyFill="1" applyAlignment="1" applyProtection="1">
      <alignment vertical="center"/>
      <protection locked="0" hidden="1"/>
    </xf>
    <xf numFmtId="0" fontId="3" fillId="3" borderId="1" xfId="0" applyFont="1" applyFill="1" applyBorder="1" applyAlignment="1" applyProtection="1">
      <alignment horizontal="center" vertical="center"/>
      <protection locked="0" hidden="1"/>
    </xf>
    <xf numFmtId="4" fontId="7" fillId="3" borderId="0" xfId="0" applyNumberFormat="1" applyFont="1" applyFill="1" applyAlignment="1" applyProtection="1">
      <alignment vertical="center"/>
      <protection locked="0" hidden="1"/>
    </xf>
    <xf numFmtId="10" fontId="7" fillId="3" borderId="0" xfId="0" applyNumberFormat="1" applyFont="1" applyFill="1" applyProtection="1">
      <protection locked="0" hidden="1"/>
    </xf>
    <xf numFmtId="0" fontId="7" fillId="0" borderId="1" xfId="0" applyFont="1" applyBorder="1" applyProtection="1">
      <protection locked="0"/>
    </xf>
    <xf numFmtId="4" fontId="4" fillId="0" borderId="1" xfId="0" applyNumberFormat="1" applyFont="1" applyFill="1" applyBorder="1" applyAlignment="1" applyProtection="1">
      <alignment vertical="center"/>
      <protection locked="0"/>
    </xf>
    <xf numFmtId="2" fontId="7" fillId="3" borderId="0" xfId="0" applyNumberFormat="1" applyFont="1" applyFill="1" applyProtection="1">
      <protection locked="0" hidden="1"/>
    </xf>
    <xf numFmtId="0" fontId="8" fillId="0" borderId="1" xfId="0" applyFont="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4" fillId="0" borderId="0" xfId="0" applyFont="1" applyAlignment="1">
      <alignment horizontal="left" vertical="center"/>
    </xf>
    <xf numFmtId="0" fontId="2" fillId="0" borderId="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4" fontId="4" fillId="0" borderId="1" xfId="0" applyNumberFormat="1"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9" xfId="0" applyFont="1" applyFill="1" applyBorder="1" applyAlignment="1">
      <alignment horizontal="center"/>
    </xf>
    <xf numFmtId="0" fontId="7" fillId="0" borderId="12" xfId="0" applyFont="1" applyFill="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2"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6" fillId="7" borderId="1" xfId="0" applyFont="1" applyFill="1" applyBorder="1" applyAlignment="1" applyProtection="1">
      <alignment horizontal="left" vertical="center" wrapText="1"/>
      <protection hidden="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7" fillId="0" borderId="1"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 xfId="0" applyFont="1" applyBorder="1" applyAlignment="1">
      <alignment horizontal="center" vertical="center"/>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4" fillId="0" borderId="1" xfId="0" applyFont="1" applyBorder="1" applyAlignment="1" applyProtection="1">
      <alignment horizontal="center" vertical="center" wrapText="1"/>
      <protection locked="0"/>
    </xf>
    <xf numFmtId="4" fontId="4" fillId="0" borderId="1" xfId="0" applyNumberFormat="1" applyFont="1" applyBorder="1" applyAlignment="1" applyProtection="1">
      <alignment horizontal="right" vertical="center" wrapText="1"/>
      <protection locked="0"/>
    </xf>
    <xf numFmtId="4" fontId="4" fillId="0" borderId="10" xfId="0" applyNumberFormat="1" applyFont="1" applyBorder="1" applyAlignment="1" applyProtection="1">
      <alignment horizontal="center" vertical="center"/>
      <protection locked="0"/>
    </xf>
    <xf numFmtId="4" fontId="4" fillId="0" borderId="0" xfId="0" applyNumberFormat="1" applyFont="1" applyBorder="1" applyAlignment="1" applyProtection="1">
      <alignment horizontal="center" vertical="center"/>
      <protection locked="0"/>
    </xf>
    <xf numFmtId="2" fontId="4" fillId="0" borderId="5" xfId="0" applyNumberFormat="1" applyFont="1" applyFill="1" applyBorder="1" applyAlignment="1" applyProtection="1">
      <alignment horizontal="center" vertical="center"/>
      <protection hidden="1"/>
    </xf>
    <xf numFmtId="2" fontId="4" fillId="0" borderId="12" xfId="0" applyNumberFormat="1" applyFont="1" applyFill="1" applyBorder="1" applyAlignment="1" applyProtection="1">
      <alignment horizontal="center" vertical="center"/>
      <protection hidden="1"/>
    </xf>
    <xf numFmtId="0" fontId="2"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4" fillId="0" borderId="0" xfId="0" applyFont="1" applyAlignment="1">
      <alignment horizontal="left" vertical="center"/>
    </xf>
    <xf numFmtId="0" fontId="3" fillId="0" borderId="1" xfId="0" applyNumberFormat="1" applyFont="1" applyBorder="1" applyAlignment="1" applyProtection="1">
      <alignment horizontal="left" vertical="center"/>
      <protection locked="0"/>
    </xf>
  </cellXfs>
  <cellStyles count="2">
    <cellStyle name="Normálna 2" xfId="1"/>
    <cellStyle name="Normálne" xfId="0" builtinI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P$32"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P$4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P$48"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P$15"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P$1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P$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8</xdr:col>
          <xdr:colOff>0</xdr:colOff>
          <xdr:row>15</xdr:row>
          <xdr:rowOff>0</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14</xdr:row>
          <xdr:rowOff>323850</xdr:rowOff>
        </xdr:from>
        <xdr:to>
          <xdr:col>7</xdr:col>
          <xdr:colOff>1104900</xdr:colOff>
          <xdr:row>14</xdr:row>
          <xdr:rowOff>571500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  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14</xdr:row>
          <xdr:rowOff>704850</xdr:rowOff>
        </xdr:from>
        <xdr:to>
          <xdr:col>7</xdr:col>
          <xdr:colOff>1104900</xdr:colOff>
          <xdr:row>14</xdr:row>
          <xdr:rowOff>952500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  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0</xdr:colOff>
          <xdr:row>19</xdr:row>
          <xdr:rowOff>0</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15</xdr:row>
          <xdr:rowOff>171450</xdr:rowOff>
        </xdr:from>
        <xdr:to>
          <xdr:col>7</xdr:col>
          <xdr:colOff>1114425</xdr:colOff>
          <xdr:row>15</xdr:row>
          <xdr:rowOff>419100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  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16</xdr:row>
          <xdr:rowOff>47625</xdr:rowOff>
        </xdr:from>
        <xdr:to>
          <xdr:col>7</xdr:col>
          <xdr:colOff>1104900</xdr:colOff>
          <xdr:row>16</xdr:row>
          <xdr:rowOff>295275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  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17</xdr:row>
          <xdr:rowOff>47625</xdr:rowOff>
        </xdr:from>
        <xdr:to>
          <xdr:col>7</xdr:col>
          <xdr:colOff>1104900</xdr:colOff>
          <xdr:row>17</xdr:row>
          <xdr:rowOff>295275</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  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20</xdr:row>
          <xdr:rowOff>0</xdr:rowOff>
        </xdr:to>
        <xdr:sp macro="" textlink="">
          <xdr:nvSpPr>
            <xdr:cNvPr id="1046" name="Group Box 22" hidden="1">
              <a:extLst>
                <a:ext uri="{63B3BB69-23CF-44E3-9099-C40C66FF867C}">
                  <a14:compatExt spid="_x0000_s10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19</xdr:row>
          <xdr:rowOff>95250</xdr:rowOff>
        </xdr:from>
        <xdr:to>
          <xdr:col>7</xdr:col>
          <xdr:colOff>1104900</xdr:colOff>
          <xdr:row>19</xdr:row>
          <xdr:rowOff>342900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  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19</xdr:row>
          <xdr:rowOff>419100</xdr:rowOff>
        </xdr:from>
        <xdr:to>
          <xdr:col>7</xdr:col>
          <xdr:colOff>1104900</xdr:colOff>
          <xdr:row>19</xdr:row>
          <xdr:rowOff>666750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  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41</xdr:row>
          <xdr:rowOff>0</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25</xdr:row>
          <xdr:rowOff>66675</xdr:rowOff>
        </xdr:from>
        <xdr:to>
          <xdr:col>7</xdr:col>
          <xdr:colOff>1085850</xdr:colOff>
          <xdr:row>26</xdr:row>
          <xdr:rowOff>152400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solidFill>
              <a:srgbClr val="FFC0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  A, B,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31</xdr:row>
          <xdr:rowOff>266700</xdr:rowOff>
        </xdr:from>
        <xdr:to>
          <xdr:col>7</xdr:col>
          <xdr:colOff>1066800</xdr:colOff>
          <xdr:row>33</xdr:row>
          <xdr:rowOff>9525</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solidFill>
              <a:srgbClr val="FFC000"/>
            </a:solidFill>
            <a:ln>
              <a:noFill/>
            </a:ln>
            <a:extLst>
              <a:ext uri="{91240B29-F687-4F45-9708-019B960494DF}">
                <a14:hiddenLine w="9525">
                  <a:solidFill>
                    <a:srgbClr val="FFFF00"/>
                  </a:solidFill>
                  <a:prstDash val="lgDash"/>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4</xdr:col>
          <xdr:colOff>0</xdr:colOff>
          <xdr:row>8</xdr:row>
          <xdr:rowOff>0</xdr:rowOff>
        </xdr:to>
        <xdr:sp macro="" textlink="">
          <xdr:nvSpPr>
            <xdr:cNvPr id="1053" name="Group Box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1114425</xdr:colOff>
          <xdr:row>7</xdr:row>
          <xdr:rowOff>219075</xdr:rowOff>
        </xdr:to>
        <xdr:sp macro="" textlink="">
          <xdr:nvSpPr>
            <xdr:cNvPr id="1054" name="Option Butto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menej rozvinuté regióny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295275</xdr:rowOff>
        </xdr:from>
        <xdr:to>
          <xdr:col>2</xdr:col>
          <xdr:colOff>1047750</xdr:colOff>
          <xdr:row>7</xdr:row>
          <xdr:rowOff>476250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iné regióny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0</xdr:rowOff>
        </xdr:from>
        <xdr:to>
          <xdr:col>8</xdr:col>
          <xdr:colOff>0</xdr:colOff>
          <xdr:row>48</xdr:row>
          <xdr:rowOff>0</xdr:rowOff>
        </xdr:to>
        <xdr:sp macro="" textlink="">
          <xdr:nvSpPr>
            <xdr:cNvPr id="1056" name="Group Box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43</xdr:row>
          <xdr:rowOff>0</xdr:rowOff>
        </xdr:from>
        <xdr:to>
          <xdr:col>7</xdr:col>
          <xdr:colOff>1019175</xdr:colOff>
          <xdr:row>44</xdr:row>
          <xdr:rowOff>85725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44</xdr:row>
          <xdr:rowOff>152400</xdr:rowOff>
        </xdr:from>
        <xdr:to>
          <xdr:col>7</xdr:col>
          <xdr:colOff>1019175</xdr:colOff>
          <xdr:row>46</xdr:row>
          <xdr:rowOff>76200</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18</xdr:row>
          <xdr:rowOff>47625</xdr:rowOff>
        </xdr:from>
        <xdr:to>
          <xdr:col>7</xdr:col>
          <xdr:colOff>1104900</xdr:colOff>
          <xdr:row>18</xdr:row>
          <xdr:rowOff>295275</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  ÁNO</a:t>
              </a:r>
            </a:p>
          </xdr:txBody>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1"/>
  <sheetViews>
    <sheetView tabSelected="1" zoomScaleNormal="100" workbookViewId="0">
      <selection activeCell="C2" sqref="C2"/>
    </sheetView>
  </sheetViews>
  <sheetFormatPr defaultRowHeight="12.75" x14ac:dyDescent="0.2"/>
  <cols>
    <col min="1" max="1" width="4" style="4" bestFit="1" customWidth="1"/>
    <col min="2" max="2" width="19.5703125" style="4" customWidth="1"/>
    <col min="3" max="3" width="17.28515625" style="4" customWidth="1"/>
    <col min="4" max="5" width="9.140625" style="4"/>
    <col min="6" max="6" width="5" style="34" bestFit="1" customWidth="1"/>
    <col min="7" max="7" width="49.42578125" style="4" customWidth="1"/>
    <col min="8" max="8" width="17.7109375" style="4" customWidth="1"/>
    <col min="9" max="9" width="12.140625" style="4" bestFit="1" customWidth="1"/>
    <col min="10" max="12" width="9.140625" style="4" customWidth="1"/>
    <col min="13" max="13" width="23.7109375" style="4" hidden="1" customWidth="1"/>
    <col min="14" max="14" width="12.7109375" style="4" hidden="1" customWidth="1"/>
    <col min="15" max="15" width="16.7109375" style="4" hidden="1" customWidth="1"/>
    <col min="16" max="16" width="22.140625" style="4" hidden="1" customWidth="1"/>
    <col min="17" max="17" width="16.7109375" style="4" hidden="1" customWidth="1"/>
    <col min="18" max="18" width="13.140625" style="4" hidden="1" customWidth="1"/>
    <col min="19" max="19" width="16.7109375" style="4" hidden="1" customWidth="1"/>
    <col min="20" max="20" width="9.140625" style="4" customWidth="1"/>
    <col min="21" max="16384" width="9.140625" style="4"/>
  </cols>
  <sheetData>
    <row r="1" spans="1:19" x14ac:dyDescent="0.2">
      <c r="B1" s="20" t="s">
        <v>175</v>
      </c>
      <c r="M1" s="57" t="s">
        <v>25</v>
      </c>
      <c r="N1" s="57" t="s">
        <v>26</v>
      </c>
      <c r="O1" s="58"/>
      <c r="P1" s="58"/>
      <c r="Q1" s="58"/>
      <c r="R1" s="58"/>
      <c r="S1" s="58"/>
    </row>
    <row r="2" spans="1:19" x14ac:dyDescent="0.2">
      <c r="B2" s="27" t="s">
        <v>109</v>
      </c>
      <c r="C2" s="3" t="s">
        <v>176</v>
      </c>
      <c r="M2" s="59" t="s">
        <v>27</v>
      </c>
      <c r="N2" s="60">
        <v>4.99</v>
      </c>
      <c r="O2" s="58"/>
      <c r="P2" s="58"/>
      <c r="Q2" s="58"/>
      <c r="R2" s="58"/>
      <c r="S2" s="58"/>
    </row>
    <row r="3" spans="1:19" x14ac:dyDescent="0.2">
      <c r="M3" s="59" t="s">
        <v>28</v>
      </c>
      <c r="N3" s="60">
        <v>6.67</v>
      </c>
      <c r="O3" s="58"/>
      <c r="P3" s="58"/>
      <c r="Q3" s="58"/>
      <c r="R3" s="58"/>
      <c r="S3" s="58"/>
    </row>
    <row r="4" spans="1:19" ht="20.25" customHeight="1" x14ac:dyDescent="0.2">
      <c r="B4" s="6" t="s">
        <v>0</v>
      </c>
      <c r="C4" s="106"/>
      <c r="D4" s="107"/>
      <c r="E4" s="107"/>
      <c r="F4" s="107"/>
      <c r="G4" s="107"/>
      <c r="H4" s="107"/>
      <c r="I4" s="108"/>
      <c r="M4" s="59" t="s">
        <v>29</v>
      </c>
      <c r="N4" s="60">
        <v>5.87</v>
      </c>
      <c r="O4" s="58"/>
      <c r="P4" s="58"/>
      <c r="Q4" s="58"/>
      <c r="R4" s="58"/>
      <c r="S4" s="58"/>
    </row>
    <row r="5" spans="1:19" ht="20.25" customHeight="1" x14ac:dyDescent="0.2">
      <c r="B5" s="6" t="s">
        <v>1</v>
      </c>
      <c r="C5" s="115"/>
      <c r="D5" s="115"/>
      <c r="E5" s="44"/>
      <c r="F5" s="45"/>
      <c r="G5" s="44"/>
      <c r="H5" s="44"/>
      <c r="I5" s="44"/>
      <c r="M5" s="59" t="s">
        <v>30</v>
      </c>
      <c r="N5" s="60">
        <v>5.49</v>
      </c>
      <c r="O5" s="58"/>
      <c r="P5" s="58"/>
      <c r="Q5" s="58"/>
      <c r="R5" s="58"/>
      <c r="S5" s="58"/>
    </row>
    <row r="6" spans="1:19" ht="20.25" customHeight="1" x14ac:dyDescent="0.2">
      <c r="B6" s="6" t="s">
        <v>2</v>
      </c>
      <c r="C6" s="116"/>
      <c r="D6" s="116"/>
      <c r="E6" s="2"/>
      <c r="F6" s="35"/>
      <c r="G6" s="2"/>
      <c r="H6" s="2"/>
      <c r="I6" s="2"/>
      <c r="M6" s="59" t="s">
        <v>31</v>
      </c>
      <c r="N6" s="60">
        <v>5.3</v>
      </c>
      <c r="O6" s="58"/>
      <c r="P6" s="58"/>
      <c r="Q6" s="58"/>
      <c r="R6" s="58"/>
      <c r="S6" s="58"/>
    </row>
    <row r="7" spans="1:19" ht="41.25" customHeight="1" x14ac:dyDescent="0.2">
      <c r="B7" s="6" t="s">
        <v>162</v>
      </c>
      <c r="C7" s="116"/>
      <c r="D7" s="116"/>
      <c r="E7" s="2"/>
      <c r="F7" s="35"/>
      <c r="G7" s="2"/>
      <c r="H7" s="2"/>
      <c r="I7" s="2"/>
      <c r="M7" s="59" t="s">
        <v>32</v>
      </c>
      <c r="N7" s="60">
        <v>7.43</v>
      </c>
      <c r="O7" s="58"/>
      <c r="P7" s="58"/>
      <c r="Q7" s="58"/>
      <c r="R7" s="58"/>
      <c r="S7" s="58"/>
    </row>
    <row r="8" spans="1:19" ht="38.25" customHeight="1" x14ac:dyDescent="0.2">
      <c r="B8" s="48" t="s">
        <v>168</v>
      </c>
      <c r="C8" s="117"/>
      <c r="D8" s="118"/>
      <c r="E8" s="7"/>
      <c r="F8" s="36"/>
      <c r="G8" s="7"/>
      <c r="H8" s="7"/>
      <c r="I8" s="7"/>
      <c r="M8" s="59" t="s">
        <v>33</v>
      </c>
      <c r="N8" s="60">
        <v>7.41</v>
      </c>
      <c r="O8" s="58"/>
      <c r="P8" s="58"/>
      <c r="Q8" s="58"/>
      <c r="R8" s="58"/>
      <c r="S8" s="58"/>
    </row>
    <row r="9" spans="1:19" ht="15.75" customHeight="1" x14ac:dyDescent="0.2">
      <c r="B9" s="6" t="s">
        <v>3</v>
      </c>
      <c r="C9" s="116"/>
      <c r="D9" s="116"/>
      <c r="E9" s="7"/>
      <c r="F9" s="36"/>
      <c r="G9" s="7"/>
      <c r="H9" s="7"/>
      <c r="I9" s="7"/>
      <c r="M9" s="59" t="s">
        <v>34</v>
      </c>
      <c r="N9" s="60">
        <v>6.22</v>
      </c>
      <c r="O9" s="58"/>
      <c r="P9" s="58"/>
      <c r="Q9" s="58"/>
      <c r="R9" s="58"/>
      <c r="S9" s="58"/>
    </row>
    <row r="10" spans="1:19" x14ac:dyDescent="0.2">
      <c r="M10" s="59" t="s">
        <v>35</v>
      </c>
      <c r="N10" s="60">
        <v>10.34</v>
      </c>
      <c r="O10" s="58"/>
      <c r="P10" s="58"/>
      <c r="Q10" s="58"/>
      <c r="R10" s="58"/>
      <c r="S10" s="58"/>
    </row>
    <row r="11" spans="1:19" x14ac:dyDescent="0.2">
      <c r="A11" s="5" t="s">
        <v>4</v>
      </c>
      <c r="B11" s="24" t="s">
        <v>5</v>
      </c>
      <c r="C11" s="25"/>
      <c r="D11" s="25"/>
      <c r="E11" s="26"/>
      <c r="F11" s="5" t="s">
        <v>6</v>
      </c>
      <c r="G11" s="5" t="s">
        <v>7</v>
      </c>
      <c r="H11" s="33"/>
      <c r="I11" s="5" t="s">
        <v>8</v>
      </c>
      <c r="M11" s="59" t="s">
        <v>36</v>
      </c>
      <c r="N11" s="60">
        <v>5.43</v>
      </c>
      <c r="O11" s="58"/>
      <c r="P11" s="58"/>
      <c r="Q11" s="58"/>
      <c r="R11" s="58"/>
      <c r="S11" s="58"/>
    </row>
    <row r="12" spans="1:19" ht="35.25" customHeight="1" x14ac:dyDescent="0.2">
      <c r="A12" s="105" t="s">
        <v>9</v>
      </c>
      <c r="B12" s="91" t="s">
        <v>151</v>
      </c>
      <c r="C12" s="92"/>
      <c r="D12" s="92"/>
      <c r="E12" s="93"/>
      <c r="F12" s="21"/>
      <c r="G12" s="77" t="s">
        <v>149</v>
      </c>
      <c r="H12" s="50" t="s">
        <v>106</v>
      </c>
      <c r="I12" s="81">
        <f>IF(H13&lt;=15,8,IF(H13&gt;15,10,""))</f>
        <v>8</v>
      </c>
      <c r="M12" s="59" t="s">
        <v>37</v>
      </c>
      <c r="N12" s="60">
        <v>7.87</v>
      </c>
      <c r="O12" s="58"/>
      <c r="P12" s="58"/>
      <c r="Q12" s="58"/>
      <c r="R12" s="58"/>
      <c r="S12" s="58"/>
    </row>
    <row r="13" spans="1:19" ht="17.25" customHeight="1" x14ac:dyDescent="0.2">
      <c r="A13" s="105"/>
      <c r="B13" s="109" t="s">
        <v>113</v>
      </c>
      <c r="C13" s="110"/>
      <c r="D13" s="110"/>
      <c r="E13" s="111"/>
      <c r="F13" s="31">
        <v>8</v>
      </c>
      <c r="G13" s="78"/>
      <c r="H13" s="119">
        <f>TRANSPOSE(Nezamestanosť!E44)</f>
        <v>0</v>
      </c>
      <c r="I13" s="82"/>
      <c r="M13" s="59" t="s">
        <v>38</v>
      </c>
      <c r="N13" s="60">
        <v>7.51</v>
      </c>
      <c r="O13" s="58"/>
      <c r="P13" s="58"/>
      <c r="Q13" s="58"/>
      <c r="R13" s="58"/>
      <c r="S13" s="58"/>
    </row>
    <row r="14" spans="1:19" ht="17.25" customHeight="1" x14ac:dyDescent="0.2">
      <c r="A14" s="105"/>
      <c r="B14" s="112" t="s">
        <v>114</v>
      </c>
      <c r="C14" s="113"/>
      <c r="D14" s="113"/>
      <c r="E14" s="114"/>
      <c r="F14" s="32">
        <v>10</v>
      </c>
      <c r="G14" s="79"/>
      <c r="H14" s="120"/>
      <c r="I14" s="83"/>
      <c r="M14" s="59" t="s">
        <v>39</v>
      </c>
      <c r="N14" s="60">
        <v>11.25</v>
      </c>
      <c r="O14" s="58"/>
      <c r="P14" s="58"/>
      <c r="Q14" s="58"/>
      <c r="R14" s="58"/>
      <c r="S14" s="58"/>
    </row>
    <row r="15" spans="1:19" ht="108" customHeight="1" x14ac:dyDescent="0.2">
      <c r="A15" s="37" t="s">
        <v>10</v>
      </c>
      <c r="B15" s="121" t="s">
        <v>152</v>
      </c>
      <c r="C15" s="122"/>
      <c r="D15" s="122"/>
      <c r="E15" s="123"/>
      <c r="F15" s="37">
        <v>4</v>
      </c>
      <c r="G15" s="53" t="s">
        <v>150</v>
      </c>
      <c r="H15" s="29"/>
      <c r="I15" s="46" t="str">
        <f>TRANSPOSE(Q15)</f>
        <v/>
      </c>
      <c r="M15" s="59" t="s">
        <v>40</v>
      </c>
      <c r="N15" s="60">
        <v>8.27</v>
      </c>
      <c r="O15" s="58"/>
      <c r="P15" s="61">
        <v>0</v>
      </c>
      <c r="Q15" s="61" t="str">
        <f>IF(OR(P15="",P15=0),"",IF(P15=1,4,IF(P15=2,0,"")))</f>
        <v/>
      </c>
      <c r="R15" s="58"/>
      <c r="S15" s="58"/>
    </row>
    <row r="16" spans="1:19" s="8" customFormat="1" ht="47.25" customHeight="1" x14ac:dyDescent="0.25">
      <c r="A16" s="101" t="s">
        <v>12</v>
      </c>
      <c r="B16" s="91" t="s">
        <v>154</v>
      </c>
      <c r="C16" s="92"/>
      <c r="D16" s="92"/>
      <c r="E16" s="93"/>
      <c r="F16" s="30">
        <v>1</v>
      </c>
      <c r="G16" s="77" t="s">
        <v>153</v>
      </c>
      <c r="H16" s="28"/>
      <c r="I16" s="81" t="str">
        <f>TRANSPOSE(Q17)</f>
        <v/>
      </c>
      <c r="M16" s="59" t="s">
        <v>41</v>
      </c>
      <c r="N16" s="60">
        <v>6.44</v>
      </c>
      <c r="O16" s="62"/>
      <c r="P16" s="62"/>
      <c r="Q16" s="62"/>
      <c r="R16" s="62"/>
      <c r="S16" s="62"/>
    </row>
    <row r="17" spans="1:19" s="8" customFormat="1" ht="27" customHeight="1" x14ac:dyDescent="0.25">
      <c r="A17" s="101"/>
      <c r="B17" s="88" t="s">
        <v>110</v>
      </c>
      <c r="C17" s="89"/>
      <c r="D17" s="89"/>
      <c r="E17" s="90"/>
      <c r="F17" s="31">
        <v>3</v>
      </c>
      <c r="G17" s="78"/>
      <c r="H17" s="28"/>
      <c r="I17" s="82"/>
      <c r="M17" s="59" t="s">
        <v>42</v>
      </c>
      <c r="N17" s="60">
        <v>10.24</v>
      </c>
      <c r="O17" s="62"/>
      <c r="P17" s="63">
        <v>0</v>
      </c>
      <c r="Q17" s="63" t="str">
        <f>IF(P17=1,1,IF(P17=2,3,IF(P17=3,6,IF(P17=4,0,""))))</f>
        <v/>
      </c>
      <c r="R17" s="62"/>
      <c r="S17" s="62"/>
    </row>
    <row r="18" spans="1:19" s="8" customFormat="1" ht="30.75" customHeight="1" x14ac:dyDescent="0.25">
      <c r="A18" s="101"/>
      <c r="B18" s="88" t="s">
        <v>111</v>
      </c>
      <c r="C18" s="89"/>
      <c r="D18" s="89"/>
      <c r="E18" s="90"/>
      <c r="F18" s="23">
        <v>6</v>
      </c>
      <c r="G18" s="78"/>
      <c r="H18" s="28"/>
      <c r="I18" s="82"/>
      <c r="M18" s="59" t="s">
        <v>43</v>
      </c>
      <c r="N18" s="60">
        <v>7.92</v>
      </c>
      <c r="O18" s="62"/>
      <c r="P18" s="62"/>
      <c r="Q18" s="62"/>
      <c r="R18" s="62"/>
      <c r="S18" s="62"/>
    </row>
    <row r="19" spans="1:19" s="8" customFormat="1" ht="30.75" customHeight="1" x14ac:dyDescent="0.25">
      <c r="A19" s="101"/>
      <c r="B19" s="98" t="s">
        <v>173</v>
      </c>
      <c r="C19" s="99"/>
      <c r="D19" s="99"/>
      <c r="E19" s="100"/>
      <c r="F19" s="22"/>
      <c r="G19" s="47"/>
      <c r="H19" s="28"/>
      <c r="I19" s="83"/>
      <c r="M19" s="59" t="s">
        <v>44</v>
      </c>
      <c r="N19" s="60">
        <v>7.74</v>
      </c>
      <c r="O19" s="62"/>
      <c r="P19" s="62"/>
      <c r="Q19" s="62"/>
      <c r="R19" s="62"/>
      <c r="S19" s="62"/>
    </row>
    <row r="20" spans="1:19" ht="65.25" customHeight="1" x14ac:dyDescent="0.2">
      <c r="A20" s="38" t="s">
        <v>13</v>
      </c>
      <c r="B20" s="91" t="s">
        <v>156</v>
      </c>
      <c r="C20" s="92"/>
      <c r="D20" s="92"/>
      <c r="E20" s="93"/>
      <c r="F20" s="37">
        <v>5</v>
      </c>
      <c r="G20" s="54" t="s">
        <v>155</v>
      </c>
      <c r="H20" s="55"/>
      <c r="I20" s="56" t="str">
        <f>TRANSPOSE(Q20)</f>
        <v/>
      </c>
      <c r="M20" s="59" t="s">
        <v>45</v>
      </c>
      <c r="N20" s="60">
        <v>7.69</v>
      </c>
      <c r="O20" s="58"/>
      <c r="P20" s="61">
        <v>0</v>
      </c>
      <c r="Q20" s="61" t="str">
        <f>IF(OR(P20="",P20=0),"",IF(P20=1,5,IF(P20=2,0,"")))</f>
        <v/>
      </c>
      <c r="R20" s="58"/>
      <c r="S20" s="58"/>
    </row>
    <row r="21" spans="1:19" ht="27" customHeight="1" x14ac:dyDescent="0.2">
      <c r="A21" s="94" t="s">
        <v>15</v>
      </c>
      <c r="B21" s="91" t="s">
        <v>158</v>
      </c>
      <c r="C21" s="92"/>
      <c r="D21" s="92"/>
      <c r="E21" s="93"/>
      <c r="F21" s="21"/>
      <c r="G21" s="77" t="s">
        <v>157</v>
      </c>
      <c r="H21" s="84"/>
      <c r="I21" s="80" t="str">
        <f>TRANSPOSE(R32)</f>
        <v/>
      </c>
      <c r="M21" s="59" t="s">
        <v>46</v>
      </c>
      <c r="N21" s="60">
        <v>11.39</v>
      </c>
      <c r="O21" s="58"/>
      <c r="P21" s="58"/>
      <c r="Q21" s="58"/>
      <c r="R21" s="58"/>
      <c r="S21" s="58"/>
    </row>
    <row r="22" spans="1:19" ht="27" customHeight="1" x14ac:dyDescent="0.2">
      <c r="A22" s="95"/>
      <c r="B22" s="88" t="s">
        <v>115</v>
      </c>
      <c r="C22" s="89"/>
      <c r="D22" s="89"/>
      <c r="E22" s="90"/>
      <c r="F22" s="39"/>
      <c r="G22" s="78"/>
      <c r="H22" s="85"/>
      <c r="I22" s="80"/>
      <c r="M22" s="59" t="s">
        <v>47</v>
      </c>
      <c r="N22" s="60">
        <v>10.53</v>
      </c>
      <c r="O22" s="58"/>
      <c r="P22" s="58"/>
      <c r="Q22" s="58"/>
      <c r="R22" s="58"/>
      <c r="S22" s="58"/>
    </row>
    <row r="23" spans="1:19" x14ac:dyDescent="0.2">
      <c r="A23" s="95"/>
      <c r="B23" s="88" t="s">
        <v>116</v>
      </c>
      <c r="C23" s="89"/>
      <c r="D23" s="89"/>
      <c r="E23" s="90"/>
      <c r="F23" s="39"/>
      <c r="G23" s="78"/>
      <c r="H23" s="85"/>
      <c r="I23" s="80"/>
      <c r="M23" s="59" t="s">
        <v>48</v>
      </c>
      <c r="N23" s="60">
        <v>12.47</v>
      </c>
      <c r="O23" s="58"/>
      <c r="P23" s="58"/>
      <c r="Q23" s="58"/>
      <c r="R23" s="58"/>
      <c r="S23" s="58"/>
    </row>
    <row r="24" spans="1:19" x14ac:dyDescent="0.2">
      <c r="A24" s="95"/>
      <c r="B24" s="88" t="s">
        <v>117</v>
      </c>
      <c r="C24" s="89"/>
      <c r="D24" s="89"/>
      <c r="E24" s="90"/>
      <c r="F24" s="39"/>
      <c r="G24" s="78"/>
      <c r="H24" s="85"/>
      <c r="I24" s="80"/>
      <c r="M24" s="59" t="s">
        <v>49</v>
      </c>
      <c r="N24" s="60">
        <v>7.15</v>
      </c>
      <c r="O24" s="58"/>
      <c r="P24" s="58"/>
      <c r="Q24" s="58"/>
      <c r="R24" s="58"/>
      <c r="S24" s="58"/>
    </row>
    <row r="25" spans="1:19" x14ac:dyDescent="0.2">
      <c r="A25" s="95"/>
      <c r="B25" s="88" t="s">
        <v>118</v>
      </c>
      <c r="C25" s="89"/>
      <c r="D25" s="89"/>
      <c r="E25" s="90"/>
      <c r="F25" s="39"/>
      <c r="G25" s="78"/>
      <c r="H25" s="85"/>
      <c r="I25" s="80"/>
      <c r="M25" s="59" t="s">
        <v>50</v>
      </c>
      <c r="N25" s="60">
        <v>7.82</v>
      </c>
      <c r="O25" s="58"/>
      <c r="P25" s="58"/>
      <c r="Q25" s="58"/>
      <c r="R25" s="58"/>
      <c r="S25" s="58"/>
    </row>
    <row r="26" spans="1:19" x14ac:dyDescent="0.2">
      <c r="A26" s="95"/>
      <c r="B26" s="88" t="s">
        <v>119</v>
      </c>
      <c r="C26" s="89"/>
      <c r="D26" s="89"/>
      <c r="E26" s="90"/>
      <c r="F26" s="31">
        <v>29</v>
      </c>
      <c r="G26" s="78"/>
      <c r="H26" s="85"/>
      <c r="I26" s="80"/>
      <c r="M26" s="59" t="s">
        <v>51</v>
      </c>
      <c r="N26" s="60">
        <v>15.48</v>
      </c>
      <c r="O26" s="58"/>
      <c r="P26" s="58"/>
      <c r="Q26" s="58"/>
      <c r="R26" s="58"/>
      <c r="S26" s="58"/>
    </row>
    <row r="27" spans="1:19" ht="27" customHeight="1" x14ac:dyDescent="0.2">
      <c r="A27" s="95"/>
      <c r="B27" s="88" t="s">
        <v>120</v>
      </c>
      <c r="C27" s="89"/>
      <c r="D27" s="89" t="s">
        <v>14</v>
      </c>
      <c r="E27" s="90"/>
      <c r="F27" s="31"/>
      <c r="G27" s="78"/>
      <c r="H27" s="85"/>
      <c r="I27" s="80"/>
      <c r="M27" s="59" t="s">
        <v>52</v>
      </c>
      <c r="N27" s="60">
        <v>12.91</v>
      </c>
      <c r="O27" s="58"/>
      <c r="P27" s="58"/>
      <c r="Q27" s="58"/>
      <c r="R27" s="58"/>
      <c r="S27" s="58"/>
    </row>
    <row r="28" spans="1:19" x14ac:dyDescent="0.2">
      <c r="A28" s="95"/>
      <c r="B28" s="88" t="s">
        <v>121</v>
      </c>
      <c r="C28" s="89"/>
      <c r="D28" s="89"/>
      <c r="E28" s="90"/>
      <c r="F28" s="31">
        <v>27</v>
      </c>
      <c r="G28" s="78"/>
      <c r="H28" s="85"/>
      <c r="I28" s="80"/>
      <c r="M28" s="59" t="s">
        <v>53</v>
      </c>
      <c r="N28" s="60">
        <v>8.64</v>
      </c>
      <c r="O28" s="58"/>
      <c r="P28" s="58"/>
      <c r="Q28" s="58"/>
      <c r="R28" s="58"/>
      <c r="S28" s="58"/>
    </row>
    <row r="29" spans="1:19" x14ac:dyDescent="0.2">
      <c r="A29" s="95"/>
      <c r="B29" s="88" t="s">
        <v>122</v>
      </c>
      <c r="C29" s="89"/>
      <c r="D29" s="89"/>
      <c r="E29" s="90"/>
      <c r="F29" s="31"/>
      <c r="G29" s="78"/>
      <c r="H29" s="85"/>
      <c r="I29" s="80"/>
      <c r="M29" s="59" t="s">
        <v>54</v>
      </c>
      <c r="N29" s="60">
        <v>10.85</v>
      </c>
      <c r="O29" s="58"/>
      <c r="P29" s="58"/>
      <c r="Q29" s="58"/>
      <c r="R29" s="58"/>
      <c r="S29" s="58"/>
    </row>
    <row r="30" spans="1:19" x14ac:dyDescent="0.2">
      <c r="A30" s="95"/>
      <c r="B30" s="88" t="s">
        <v>123</v>
      </c>
      <c r="C30" s="89"/>
      <c r="D30" s="89"/>
      <c r="E30" s="90"/>
      <c r="F30" s="31">
        <v>25</v>
      </c>
      <c r="G30" s="78"/>
      <c r="H30" s="85"/>
      <c r="I30" s="80"/>
      <c r="J30" s="3"/>
      <c r="M30" s="59" t="s">
        <v>55</v>
      </c>
      <c r="N30" s="60">
        <v>8.5299999999999994</v>
      </c>
      <c r="O30" s="58"/>
      <c r="P30" s="58"/>
      <c r="Q30" s="58"/>
      <c r="R30" s="58"/>
      <c r="S30" s="58"/>
    </row>
    <row r="31" spans="1:19" x14ac:dyDescent="0.2">
      <c r="A31" s="95"/>
      <c r="B31" s="88" t="s">
        <v>124</v>
      </c>
      <c r="C31" s="89"/>
      <c r="D31" s="89"/>
      <c r="E31" s="90"/>
      <c r="F31" s="23"/>
      <c r="G31" s="78"/>
      <c r="H31" s="85"/>
      <c r="I31" s="80"/>
      <c r="M31" s="59" t="s">
        <v>56</v>
      </c>
      <c r="N31" s="60">
        <v>11.08</v>
      </c>
      <c r="O31" s="58"/>
      <c r="P31" s="58"/>
      <c r="Q31" s="58"/>
      <c r="R31" s="58"/>
      <c r="S31" s="58"/>
    </row>
    <row r="32" spans="1:19" ht="27" customHeight="1" x14ac:dyDescent="0.2">
      <c r="A32" s="95"/>
      <c r="B32" s="88" t="s">
        <v>125</v>
      </c>
      <c r="C32" s="89"/>
      <c r="D32" s="89" t="s">
        <v>14</v>
      </c>
      <c r="E32" s="90"/>
      <c r="F32" s="40">
        <v>21</v>
      </c>
      <c r="G32" s="78"/>
      <c r="H32" s="85"/>
      <c r="I32" s="80"/>
      <c r="M32" s="59" t="s">
        <v>57</v>
      </c>
      <c r="N32" s="60">
        <v>10.41</v>
      </c>
      <c r="O32" s="58"/>
      <c r="P32" s="63">
        <v>0</v>
      </c>
      <c r="Q32" s="61" t="str">
        <f>IF(P32=1,IF(OR(C6="",C7=""),"",IF(AND(C7&lt;=50,C6&lt;=100000),29,IF(AND(C7&lt;=50,C6&gt;100000,C6&lt;=150000),27,IF(AND(C7&lt;=50,C6&gt;150000,C6&lt;=200000),25,IF(AND(C7&lt;=50,C6&gt;200000),21,IF(AND(C7&gt;50,C7&lt;=100,C6&lt;=120000),29,IF(AND(C7&gt;50,C7&lt;=100,C6&gt;120000,C6&lt;=180000),27,IF(AND(C7&gt;50,C7&lt;=100,C6&gt;180000,C6&lt;=220000),25,IF(AND(C7&gt;50,C7&lt;=100,C6&gt;220000),21,IF(AND(C7&gt;100,C6&lt;=150000),29,IF(AND(C7&gt;100,C6&gt;150000,C6&lt;=200000),27,IF(AND(C7&gt;100,C6&gt;200000,C6&lt;=250000),25,IF(AND(C7&gt;100,C6&gt;250000),21,))))))))))))),"")</f>
        <v/>
      </c>
      <c r="R32" s="61" t="str">
        <f>IF(AND(Q32="",Q33=""),"",SUM(Q32:Q33))</f>
        <v/>
      </c>
      <c r="S32" s="58"/>
    </row>
    <row r="33" spans="1:19" x14ac:dyDescent="0.2">
      <c r="A33" s="95"/>
      <c r="B33" s="88" t="s">
        <v>126</v>
      </c>
      <c r="C33" s="89"/>
      <c r="D33" s="89"/>
      <c r="E33" s="90"/>
      <c r="F33" s="23"/>
      <c r="G33" s="78"/>
      <c r="H33" s="85"/>
      <c r="I33" s="80"/>
      <c r="M33" s="59" t="s">
        <v>58</v>
      </c>
      <c r="N33" s="60">
        <v>14.3</v>
      </c>
      <c r="O33" s="58"/>
      <c r="P33" s="58"/>
      <c r="Q33" s="61" t="str">
        <f>IF(P32=2,IF(AND(C6=""),"",IF(AND(C6&lt;=250000),29,IF(AND(C6&gt;250000,C6&lt;=400000),27,IF(AND(C6&gt;400000,C6&lt;=500000),25,IF(AND(C6&gt;500000),21,))))),"")</f>
        <v/>
      </c>
      <c r="R33" s="58"/>
      <c r="S33" s="58"/>
    </row>
    <row r="34" spans="1:19" x14ac:dyDescent="0.2">
      <c r="A34" s="95"/>
      <c r="B34" s="88" t="s">
        <v>127</v>
      </c>
      <c r="C34" s="89"/>
      <c r="D34" s="89"/>
      <c r="E34" s="90"/>
      <c r="F34" s="23"/>
      <c r="G34" s="78"/>
      <c r="H34" s="85"/>
      <c r="I34" s="80"/>
      <c r="M34" s="59" t="s">
        <v>59</v>
      </c>
      <c r="N34" s="60">
        <v>12.37</v>
      </c>
      <c r="O34" s="58"/>
      <c r="P34" s="58"/>
      <c r="Q34" s="58"/>
      <c r="R34" s="58"/>
      <c r="S34" s="58"/>
    </row>
    <row r="35" spans="1:19" x14ac:dyDescent="0.2">
      <c r="A35" s="95"/>
      <c r="B35" s="88" t="s">
        <v>128</v>
      </c>
      <c r="C35" s="89"/>
      <c r="D35" s="89"/>
      <c r="E35" s="90"/>
      <c r="F35" s="23"/>
      <c r="G35" s="78"/>
      <c r="H35" s="85"/>
      <c r="I35" s="80"/>
      <c r="M35" s="59" t="s">
        <v>60</v>
      </c>
      <c r="N35" s="60">
        <v>12.65</v>
      </c>
      <c r="O35" s="58"/>
      <c r="P35" s="58"/>
      <c r="Q35" s="58"/>
      <c r="R35" s="58"/>
      <c r="S35" s="58"/>
    </row>
    <row r="36" spans="1:19" x14ac:dyDescent="0.2">
      <c r="A36" s="95"/>
      <c r="B36" s="88" t="s">
        <v>129</v>
      </c>
      <c r="C36" s="89"/>
      <c r="D36" s="89"/>
      <c r="E36" s="90"/>
      <c r="F36" s="23"/>
      <c r="G36" s="78"/>
      <c r="H36" s="85"/>
      <c r="I36" s="80"/>
      <c r="M36" s="59" t="s">
        <v>61</v>
      </c>
      <c r="N36" s="60">
        <v>12.28</v>
      </c>
      <c r="O36" s="58"/>
      <c r="P36" s="58"/>
      <c r="Q36" s="58"/>
      <c r="R36" s="58"/>
      <c r="S36" s="58"/>
    </row>
    <row r="37" spans="1:19" ht="40.15" customHeight="1" x14ac:dyDescent="0.2">
      <c r="A37" s="95"/>
      <c r="B37" s="88" t="s">
        <v>130</v>
      </c>
      <c r="C37" s="89"/>
      <c r="D37" s="89" t="s">
        <v>14</v>
      </c>
      <c r="E37" s="90"/>
      <c r="F37" s="23"/>
      <c r="G37" s="78"/>
      <c r="H37" s="85"/>
      <c r="I37" s="80"/>
      <c r="M37" s="59" t="s">
        <v>62</v>
      </c>
      <c r="N37" s="60">
        <v>12.04</v>
      </c>
      <c r="O37" s="58"/>
      <c r="P37" s="58"/>
      <c r="Q37" s="58"/>
      <c r="R37" s="58"/>
      <c r="S37" s="58"/>
    </row>
    <row r="38" spans="1:19" x14ac:dyDescent="0.2">
      <c r="A38" s="95"/>
      <c r="B38" s="88" t="s">
        <v>131</v>
      </c>
      <c r="C38" s="89"/>
      <c r="D38" s="89"/>
      <c r="E38" s="90"/>
      <c r="F38" s="23"/>
      <c r="G38" s="78"/>
      <c r="H38" s="85"/>
      <c r="I38" s="80"/>
      <c r="M38" s="59" t="s">
        <v>63</v>
      </c>
      <c r="N38" s="60">
        <v>8.34</v>
      </c>
      <c r="O38" s="58"/>
      <c r="P38" s="58"/>
      <c r="Q38" s="58"/>
      <c r="R38" s="58"/>
      <c r="S38" s="58"/>
    </row>
    <row r="39" spans="1:19" x14ac:dyDescent="0.2">
      <c r="A39" s="95"/>
      <c r="B39" s="88" t="s">
        <v>132</v>
      </c>
      <c r="C39" s="89"/>
      <c r="D39" s="89"/>
      <c r="E39" s="90"/>
      <c r="F39" s="23"/>
      <c r="G39" s="78"/>
      <c r="H39" s="85"/>
      <c r="I39" s="80"/>
      <c r="M39" s="59" t="s">
        <v>64</v>
      </c>
      <c r="N39" s="60">
        <v>12.53</v>
      </c>
      <c r="O39" s="58"/>
      <c r="P39" s="58"/>
      <c r="Q39" s="58"/>
      <c r="R39" s="58"/>
      <c r="S39" s="58"/>
    </row>
    <row r="40" spans="1:19" x14ac:dyDescent="0.2">
      <c r="A40" s="95"/>
      <c r="B40" s="88" t="s">
        <v>133</v>
      </c>
      <c r="C40" s="89"/>
      <c r="D40" s="89"/>
      <c r="E40" s="90"/>
      <c r="F40" s="23"/>
      <c r="G40" s="78"/>
      <c r="H40" s="85"/>
      <c r="I40" s="80"/>
      <c r="M40" s="59" t="s">
        <v>65</v>
      </c>
      <c r="N40" s="60">
        <v>11.87</v>
      </c>
      <c r="O40" s="58"/>
      <c r="P40" s="58"/>
      <c r="Q40" s="58"/>
      <c r="R40" s="58"/>
      <c r="S40" s="58"/>
    </row>
    <row r="41" spans="1:19" x14ac:dyDescent="0.2">
      <c r="A41" s="96"/>
      <c r="B41" s="102" t="s">
        <v>134</v>
      </c>
      <c r="C41" s="103"/>
      <c r="D41" s="103"/>
      <c r="E41" s="104"/>
      <c r="F41" s="22"/>
      <c r="G41" s="79"/>
      <c r="H41" s="85"/>
      <c r="I41" s="80"/>
      <c r="M41" s="59" t="s">
        <v>66</v>
      </c>
      <c r="N41" s="60">
        <v>12.6</v>
      </c>
      <c r="O41" s="58"/>
      <c r="P41" s="58"/>
      <c r="Q41" s="58"/>
      <c r="R41" s="58"/>
      <c r="S41" s="58"/>
    </row>
    <row r="42" spans="1:19" ht="27" customHeight="1" x14ac:dyDescent="0.2">
      <c r="A42" s="94" t="s">
        <v>16</v>
      </c>
      <c r="B42" s="91" t="s">
        <v>11</v>
      </c>
      <c r="C42" s="92"/>
      <c r="D42" s="92"/>
      <c r="E42" s="93"/>
      <c r="F42" s="41"/>
      <c r="G42" s="77" t="s">
        <v>159</v>
      </c>
      <c r="H42" s="49" t="s">
        <v>163</v>
      </c>
      <c r="I42" s="81" t="str">
        <f>TRANSPOSE(S46)</f>
        <v/>
      </c>
      <c r="M42" s="59" t="s">
        <v>67</v>
      </c>
      <c r="N42" s="60">
        <v>11.18</v>
      </c>
      <c r="O42" s="58"/>
      <c r="P42" s="64" t="s">
        <v>164</v>
      </c>
      <c r="Q42" s="64" t="s">
        <v>165</v>
      </c>
      <c r="R42" s="58"/>
      <c r="S42" s="58"/>
    </row>
    <row r="43" spans="1:19" x14ac:dyDescent="0.2">
      <c r="A43" s="95"/>
      <c r="B43" s="88" t="s">
        <v>135</v>
      </c>
      <c r="C43" s="89"/>
      <c r="D43" s="89"/>
      <c r="E43" s="90"/>
      <c r="F43" s="42"/>
      <c r="G43" s="78"/>
      <c r="H43" s="86"/>
      <c r="I43" s="82"/>
      <c r="M43" s="59" t="s">
        <v>68</v>
      </c>
      <c r="N43" s="60">
        <v>8.5399999999999991</v>
      </c>
      <c r="O43" s="58"/>
      <c r="P43" s="65" t="s">
        <v>166</v>
      </c>
      <c r="Q43" s="65" t="s">
        <v>166</v>
      </c>
      <c r="R43" s="58"/>
      <c r="S43" s="58"/>
    </row>
    <row r="44" spans="1:19" x14ac:dyDescent="0.2">
      <c r="A44" s="95"/>
      <c r="B44" s="88" t="s">
        <v>136</v>
      </c>
      <c r="C44" s="89"/>
      <c r="D44" s="89"/>
      <c r="E44" s="90"/>
      <c r="F44" s="31">
        <v>4</v>
      </c>
      <c r="G44" s="78"/>
      <c r="H44" s="86"/>
      <c r="I44" s="82"/>
      <c r="M44" s="59" t="s">
        <v>69</v>
      </c>
      <c r="N44" s="60">
        <v>8.9</v>
      </c>
      <c r="O44" s="58"/>
      <c r="P44" s="66">
        <v>0.5</v>
      </c>
      <c r="Q44" s="66">
        <v>0.4</v>
      </c>
      <c r="R44" s="58"/>
      <c r="S44" s="58"/>
    </row>
    <row r="45" spans="1:19" x14ac:dyDescent="0.2">
      <c r="A45" s="95"/>
      <c r="B45" s="88" t="s">
        <v>137</v>
      </c>
      <c r="C45" s="89"/>
      <c r="D45" s="89"/>
      <c r="E45" s="90"/>
      <c r="F45" s="31"/>
      <c r="G45" s="78"/>
      <c r="H45" s="86"/>
      <c r="I45" s="82"/>
      <c r="M45" s="59" t="s">
        <v>70</v>
      </c>
      <c r="N45" s="60">
        <v>17.510000000000002</v>
      </c>
      <c r="O45" s="58"/>
      <c r="P45" s="65" t="s">
        <v>167</v>
      </c>
      <c r="Q45" s="65" t="s">
        <v>167</v>
      </c>
      <c r="R45" s="58"/>
      <c r="S45" s="58"/>
    </row>
    <row r="46" spans="1:19" x14ac:dyDescent="0.2">
      <c r="A46" s="95"/>
      <c r="B46" s="88" t="s">
        <v>138</v>
      </c>
      <c r="C46" s="89"/>
      <c r="D46" s="89"/>
      <c r="E46" s="90"/>
      <c r="F46" s="31">
        <v>8</v>
      </c>
      <c r="G46" s="78"/>
      <c r="H46" s="86"/>
      <c r="I46" s="82"/>
      <c r="M46" s="59" t="s">
        <v>71</v>
      </c>
      <c r="N46" s="60">
        <v>13.41</v>
      </c>
      <c r="O46" s="58"/>
      <c r="P46" s="66">
        <v>0.7</v>
      </c>
      <c r="Q46" s="66">
        <v>0.6</v>
      </c>
      <c r="R46" s="61">
        <f>SUM(Q47:Q50)</f>
        <v>0</v>
      </c>
      <c r="S46" s="61" t="str">
        <f>IF(OR(P47=0,P48=0),"",IF(OR(C6="",C9=""),"",R46))</f>
        <v/>
      </c>
    </row>
    <row r="47" spans="1:19" x14ac:dyDescent="0.2">
      <c r="A47" s="95"/>
      <c r="B47" s="88" t="s">
        <v>139</v>
      </c>
      <c r="C47" s="89"/>
      <c r="D47" s="89"/>
      <c r="E47" s="90"/>
      <c r="F47" s="42"/>
      <c r="G47" s="78"/>
      <c r="H47" s="86"/>
      <c r="I47" s="82"/>
      <c r="M47" s="59" t="s">
        <v>72</v>
      </c>
      <c r="N47" s="60">
        <v>14.57</v>
      </c>
      <c r="O47" s="58"/>
      <c r="P47" s="61">
        <v>0</v>
      </c>
      <c r="Q47" s="61" t="str">
        <f>IF(OR(C6="",C9=""),"",IF(AND(P47=1,P48=1),IF(AND((P46-P49)&gt;=0.2,(P46-P49)&lt;0.3),4,IF((P46-P49)&gt;=0.3,8,)),0))</f>
        <v/>
      </c>
      <c r="R47" s="58"/>
      <c r="S47" s="58"/>
    </row>
    <row r="48" spans="1:19" x14ac:dyDescent="0.2">
      <c r="A48" s="96"/>
      <c r="B48" s="88" t="s">
        <v>140</v>
      </c>
      <c r="C48" s="89"/>
      <c r="D48" s="89"/>
      <c r="E48" s="90"/>
      <c r="F48" s="43"/>
      <c r="G48" s="79"/>
      <c r="H48" s="87"/>
      <c r="I48" s="83"/>
      <c r="M48" s="59" t="s">
        <v>73</v>
      </c>
      <c r="N48" s="60">
        <v>16.95</v>
      </c>
      <c r="O48" s="58"/>
      <c r="P48" s="61">
        <v>0</v>
      </c>
      <c r="Q48" s="61" t="str">
        <f>IF(OR(C6="",C9=""),"",IF(AND(P47=1,P48=2),IF(AND((P44-P49)&gt;=0.05,(P44-P49)&lt;0.1),4,IF((P44-P49)&gt;=0.1,8,)),0))</f>
        <v/>
      </c>
      <c r="R48" s="58"/>
      <c r="S48" s="58"/>
    </row>
    <row r="49" spans="1:19" ht="15" customHeight="1" x14ac:dyDescent="0.2">
      <c r="A49" s="94" t="s">
        <v>112</v>
      </c>
      <c r="B49" s="91" t="s">
        <v>161</v>
      </c>
      <c r="C49" s="92"/>
      <c r="D49" s="92"/>
      <c r="E49" s="93"/>
      <c r="F49" s="21"/>
      <c r="G49" s="77" t="s">
        <v>160</v>
      </c>
      <c r="H49" s="50" t="s">
        <v>171</v>
      </c>
      <c r="I49" s="80" t="str">
        <f>TRANSPOSE(S51)</f>
        <v/>
      </c>
      <c r="M49" s="59" t="s">
        <v>74</v>
      </c>
      <c r="N49" s="60">
        <v>20.079999999999998</v>
      </c>
      <c r="O49" s="58" t="e">
        <f>C9/C6</f>
        <v>#DIV/0!</v>
      </c>
      <c r="P49" s="61" t="str">
        <f>IFERROR(O49,"")</f>
        <v/>
      </c>
      <c r="Q49" s="61" t="str">
        <f>IF(OR(C6="",C9=""),"",IF(AND(P47=2,P48=1),IF(AND((Q46-P49)&gt;=0.2,(Q46-P49)&lt;0.3),4,IF((Q46-P49)&gt;=0.3,8,)),0))</f>
        <v/>
      </c>
      <c r="R49" s="58"/>
      <c r="S49" s="58"/>
    </row>
    <row r="50" spans="1:19" ht="41.1" customHeight="1" x14ac:dyDescent="0.2">
      <c r="A50" s="95"/>
      <c r="B50" s="88" t="s">
        <v>141</v>
      </c>
      <c r="C50" s="89"/>
      <c r="D50" s="89"/>
      <c r="E50" s="90"/>
      <c r="F50" s="31">
        <v>38</v>
      </c>
      <c r="G50" s="78"/>
      <c r="H50" s="72"/>
      <c r="I50" s="80"/>
      <c r="M50" s="59" t="s">
        <v>75</v>
      </c>
      <c r="N50" s="60">
        <v>23.57</v>
      </c>
      <c r="O50" s="58"/>
      <c r="P50" s="67" t="s">
        <v>170</v>
      </c>
      <c r="Q50" s="61" t="str">
        <f>IF(OR(C6="",C9=""),"",IF(AND(P47=2,P48=2),IF(AND((Q44-P49)&gt;=0.05,(Q44-P49)&lt;0.1),4,IF((Q44-P49)&gt;=0.1,8,)),0))</f>
        <v/>
      </c>
      <c r="R50" s="58"/>
      <c r="S50" s="58"/>
    </row>
    <row r="51" spans="1:19" ht="27" customHeight="1" x14ac:dyDescent="0.2">
      <c r="A51" s="95"/>
      <c r="B51" s="88" t="s">
        <v>142</v>
      </c>
      <c r="C51" s="89"/>
      <c r="D51" s="89"/>
      <c r="E51" s="90"/>
      <c r="F51" s="31">
        <v>34</v>
      </c>
      <c r="G51" s="78"/>
      <c r="H51" s="72"/>
      <c r="I51" s="80"/>
      <c r="M51" s="59" t="s">
        <v>76</v>
      </c>
      <c r="N51" s="60">
        <v>26.82</v>
      </c>
      <c r="O51" s="68" t="s">
        <v>169</v>
      </c>
      <c r="P51" s="69">
        <f>SUM(H50:H57)</f>
        <v>0</v>
      </c>
      <c r="Q51" s="58"/>
      <c r="R51" s="58"/>
      <c r="S51" s="69" t="str">
        <f>IF(SUM(P52:P59)=0,"",IF(AND(SUM(P52:P59)&gt;0,SUM(P52:P58)&lt;0.7),20,IF(AND(R52&gt;=0.7),38,IF(AND(R53&gt;=0.7),34,IF(AND(R54&gt;=0.7),32,IF(AND(R55&gt;=0.7),30,IF(AND(R56&gt;=0.7),29,IF(AND(R57&gt;=0.7),28,IF(AND(R58&gt;=0.7),27,SUMPRODUCT(F50:F56,R52:R58)/SUM(R52:R58))))))))))</f>
        <v/>
      </c>
    </row>
    <row r="52" spans="1:19" ht="27" customHeight="1" x14ac:dyDescent="0.2">
      <c r="A52" s="95"/>
      <c r="B52" s="88" t="s">
        <v>143</v>
      </c>
      <c r="C52" s="89"/>
      <c r="D52" s="89"/>
      <c r="E52" s="90"/>
      <c r="F52" s="31">
        <v>32</v>
      </c>
      <c r="G52" s="78"/>
      <c r="H52" s="72"/>
      <c r="I52" s="80"/>
      <c r="M52" s="59" t="s">
        <v>77</v>
      </c>
      <c r="N52" s="60">
        <v>29.84</v>
      </c>
      <c r="O52" s="58" t="e">
        <f>H50/P51</f>
        <v>#DIV/0!</v>
      </c>
      <c r="P52" s="70">
        <f>IFERROR(O52,0)</f>
        <v>0</v>
      </c>
      <c r="Q52" s="61">
        <f>IF(P52&gt;=0.7,0.7,P52)</f>
        <v>0</v>
      </c>
      <c r="R52" s="61">
        <f>Q52</f>
        <v>0</v>
      </c>
      <c r="S52" s="58"/>
    </row>
    <row r="53" spans="1:19" ht="54.75" customHeight="1" x14ac:dyDescent="0.2">
      <c r="A53" s="95"/>
      <c r="B53" s="88" t="s">
        <v>144</v>
      </c>
      <c r="C53" s="89"/>
      <c r="D53" s="89"/>
      <c r="E53" s="90"/>
      <c r="F53" s="31">
        <v>30</v>
      </c>
      <c r="G53" s="78"/>
      <c r="H53" s="72"/>
      <c r="I53" s="80"/>
      <c r="M53" s="59" t="s">
        <v>78</v>
      </c>
      <c r="N53" s="60">
        <v>22.17</v>
      </c>
      <c r="O53" s="58" t="e">
        <f>H51/P51</f>
        <v>#DIV/0!</v>
      </c>
      <c r="P53" s="70">
        <f t="shared" ref="P53:P59" si="0">IFERROR(O53,0)</f>
        <v>0</v>
      </c>
      <c r="Q53" s="61">
        <f t="shared" ref="Q53:Q59" si="1">IF(P53&gt;=0.7,0.7,P53)</f>
        <v>0</v>
      </c>
      <c r="R53" s="73">
        <f>IF(Q52+Q53&lt;=0.7,Q53,Q53-(Q52+Q53-0.7))</f>
        <v>0</v>
      </c>
      <c r="S53" s="58"/>
    </row>
    <row r="54" spans="1:19" ht="27" customHeight="1" x14ac:dyDescent="0.2">
      <c r="A54" s="95"/>
      <c r="B54" s="88" t="s">
        <v>145</v>
      </c>
      <c r="C54" s="89"/>
      <c r="D54" s="89"/>
      <c r="E54" s="90"/>
      <c r="F54" s="31">
        <v>29</v>
      </c>
      <c r="G54" s="78"/>
      <c r="H54" s="72"/>
      <c r="I54" s="80"/>
      <c r="M54" s="59" t="s">
        <v>79</v>
      </c>
      <c r="N54" s="60">
        <v>10.55</v>
      </c>
      <c r="O54" s="58" t="e">
        <f>H52/P51</f>
        <v>#DIV/0!</v>
      </c>
      <c r="P54" s="70">
        <f t="shared" si="0"/>
        <v>0</v>
      </c>
      <c r="Q54" s="61">
        <f t="shared" si="1"/>
        <v>0</v>
      </c>
      <c r="R54" s="61">
        <f>IF(R52+R53+Q54&lt;=0.7,Q54,0.7-R52-R53)</f>
        <v>0</v>
      </c>
      <c r="S54" s="58"/>
    </row>
    <row r="55" spans="1:19" ht="27" customHeight="1" x14ac:dyDescent="0.2">
      <c r="A55" s="95"/>
      <c r="B55" s="88" t="s">
        <v>146</v>
      </c>
      <c r="C55" s="89"/>
      <c r="D55" s="89"/>
      <c r="E55" s="90"/>
      <c r="F55" s="31">
        <v>28</v>
      </c>
      <c r="G55" s="78"/>
      <c r="H55" s="72"/>
      <c r="I55" s="80"/>
      <c r="M55" s="59" t="s">
        <v>80</v>
      </c>
      <c r="N55" s="60">
        <v>16.46</v>
      </c>
      <c r="O55" s="58" t="e">
        <f>H53/P51</f>
        <v>#DIV/0!</v>
      </c>
      <c r="P55" s="70">
        <f t="shared" si="0"/>
        <v>0</v>
      </c>
      <c r="Q55" s="61">
        <f t="shared" si="1"/>
        <v>0</v>
      </c>
      <c r="R55" s="61">
        <f>IF(R52+R53+R54+Q55&lt;=0.7,Q55,0.7-R52-R53-R54)</f>
        <v>0</v>
      </c>
      <c r="S55" s="58"/>
    </row>
    <row r="56" spans="1:19" ht="27" customHeight="1" x14ac:dyDescent="0.2">
      <c r="A56" s="95"/>
      <c r="B56" s="88" t="s">
        <v>147</v>
      </c>
      <c r="C56" s="89"/>
      <c r="D56" s="89"/>
      <c r="E56" s="90"/>
      <c r="F56" s="31">
        <v>27</v>
      </c>
      <c r="G56" s="78"/>
      <c r="H56" s="72"/>
      <c r="I56" s="80"/>
      <c r="M56" s="59" t="s">
        <v>81</v>
      </c>
      <c r="N56" s="60">
        <v>13.34</v>
      </c>
      <c r="O56" s="58" t="e">
        <f>H54/P51</f>
        <v>#DIV/0!</v>
      </c>
      <c r="P56" s="70">
        <f t="shared" si="0"/>
        <v>0</v>
      </c>
      <c r="Q56" s="61">
        <f t="shared" si="1"/>
        <v>0</v>
      </c>
      <c r="R56" s="61">
        <f>IF(R52+R53+R54+R55+Q56&lt;=0.7,Q56,0.7-R52-R53-R54-R55)</f>
        <v>0</v>
      </c>
      <c r="S56" s="58"/>
    </row>
    <row r="57" spans="1:19" x14ac:dyDescent="0.2">
      <c r="A57" s="96"/>
      <c r="B57" s="102" t="s">
        <v>148</v>
      </c>
      <c r="C57" s="103"/>
      <c r="D57" s="103"/>
      <c r="E57" s="104"/>
      <c r="F57" s="32">
        <v>20</v>
      </c>
      <c r="G57" s="79"/>
      <c r="H57" s="72"/>
      <c r="I57" s="80"/>
      <c r="M57" s="59" t="s">
        <v>82</v>
      </c>
      <c r="N57" s="60">
        <v>19.600000000000001</v>
      </c>
      <c r="O57" s="58" t="e">
        <f>H55/P51</f>
        <v>#DIV/0!</v>
      </c>
      <c r="P57" s="70">
        <f t="shared" si="0"/>
        <v>0</v>
      </c>
      <c r="Q57" s="61">
        <f t="shared" si="1"/>
        <v>0</v>
      </c>
      <c r="R57" s="61">
        <f>IF(R52+R53+R54+R55+R56+Q57&lt;=0.7,Q57,0.7-R52-R53-R54-R55-R56)</f>
        <v>0</v>
      </c>
      <c r="S57" s="58"/>
    </row>
    <row r="58" spans="1:19" x14ac:dyDescent="0.2">
      <c r="A58" s="97" t="s">
        <v>172</v>
      </c>
      <c r="B58" s="97"/>
      <c r="C58" s="97"/>
      <c r="D58" s="97"/>
      <c r="E58" s="97"/>
      <c r="F58" s="97"/>
      <c r="G58" s="97"/>
      <c r="H58" s="51" t="s">
        <v>14</v>
      </c>
      <c r="I58" s="52">
        <f>SUM(I12:I57)</f>
        <v>8</v>
      </c>
      <c r="M58" s="59" t="s">
        <v>83</v>
      </c>
      <c r="N58" s="60">
        <v>16.489999999999998</v>
      </c>
      <c r="O58" s="58" t="e">
        <f>H56/P51</f>
        <v>#DIV/0!</v>
      </c>
      <c r="P58" s="70">
        <f t="shared" si="0"/>
        <v>0</v>
      </c>
      <c r="Q58" s="61">
        <f t="shared" si="1"/>
        <v>0</v>
      </c>
      <c r="R58" s="61">
        <f>IF(R52+R53+R54+R55+R56+R57+Q58&lt;=0.7,Q58,0.7-R52-R53-R54-R55-R56-R57)</f>
        <v>0</v>
      </c>
      <c r="S58" s="58"/>
    </row>
    <row r="59" spans="1:19" x14ac:dyDescent="0.2">
      <c r="M59" s="59" t="s">
        <v>84</v>
      </c>
      <c r="N59" s="60">
        <v>25.59</v>
      </c>
      <c r="O59" s="58" t="e">
        <f>H57/P51</f>
        <v>#DIV/0!</v>
      </c>
      <c r="P59" s="70">
        <f t="shared" si="0"/>
        <v>0</v>
      </c>
      <c r="Q59" s="61">
        <f t="shared" si="1"/>
        <v>0</v>
      </c>
      <c r="R59" s="61">
        <f>IF(R52+R53+R54+R55+R56+R57+R58+Q59&lt;=0.7,Q59,0.7-R52-R53-R54-R55-R56-R57-R58)</f>
        <v>0</v>
      </c>
      <c r="S59" s="58"/>
    </row>
    <row r="60" spans="1:19" x14ac:dyDescent="0.2">
      <c r="M60" s="59" t="s">
        <v>85</v>
      </c>
      <c r="N60" s="60">
        <v>16.440000000000001</v>
      </c>
      <c r="O60" s="58"/>
      <c r="P60" s="58"/>
      <c r="Q60" s="58"/>
      <c r="R60" s="58"/>
      <c r="S60" s="58"/>
    </row>
    <row r="61" spans="1:19" x14ac:dyDescent="0.2">
      <c r="B61" s="76" t="s">
        <v>174</v>
      </c>
      <c r="M61" s="59" t="s">
        <v>86</v>
      </c>
      <c r="N61" s="60">
        <v>19.95</v>
      </c>
      <c r="O61" s="58"/>
      <c r="P61" s="58"/>
      <c r="Q61" s="58"/>
      <c r="R61" s="58"/>
      <c r="S61" s="58"/>
    </row>
    <row r="62" spans="1:19" x14ac:dyDescent="0.2">
      <c r="M62" s="59" t="s">
        <v>87</v>
      </c>
      <c r="N62" s="60">
        <v>11.01</v>
      </c>
      <c r="O62" s="58"/>
      <c r="P62" s="58"/>
      <c r="Q62" s="58"/>
      <c r="R62" s="58"/>
      <c r="S62" s="58"/>
    </row>
    <row r="63" spans="1:19" x14ac:dyDescent="0.2">
      <c r="B63" s="124" t="str">
        <f>IF(C6="","nie sú zadané OV","")</f>
        <v>nie sú zadané OV</v>
      </c>
      <c r="C63" s="124"/>
      <c r="D63" s="124"/>
      <c r="E63" s="124"/>
      <c r="F63" s="124"/>
      <c r="M63" s="59" t="s">
        <v>88</v>
      </c>
      <c r="N63" s="60">
        <v>14.84</v>
      </c>
      <c r="O63" s="58"/>
      <c r="P63" s="58"/>
      <c r="Q63" s="58"/>
      <c r="R63" s="58"/>
      <c r="S63" s="58"/>
    </row>
    <row r="64" spans="1:19" x14ac:dyDescent="0.2">
      <c r="B64" s="124" t="str">
        <f>IF(C7="","nie je zadaná výmera obhospodarovanej pôdy","")</f>
        <v>nie je zadaná výmera obhospodarovanej pôdy</v>
      </c>
      <c r="C64" s="124"/>
      <c r="D64" s="124"/>
      <c r="E64" s="124"/>
      <c r="F64" s="124"/>
      <c r="M64" s="59" t="s">
        <v>89</v>
      </c>
      <c r="N64" s="60">
        <v>21.86</v>
      </c>
      <c r="O64" s="58"/>
      <c r="P64" s="58"/>
      <c r="Q64" s="58"/>
      <c r="R64" s="58"/>
      <c r="S64" s="58"/>
    </row>
    <row r="65" spans="2:19" x14ac:dyDescent="0.2">
      <c r="B65" s="124" t="str">
        <f>IF(H13=0,"nie je vyplnený hárok nezamestanosť","")</f>
        <v>nie je vyplnený hárok nezamestanosť</v>
      </c>
      <c r="C65" s="124"/>
      <c r="D65" s="124"/>
      <c r="E65" s="124"/>
      <c r="F65" s="124"/>
      <c r="M65" s="59" t="s">
        <v>90</v>
      </c>
      <c r="N65" s="60">
        <v>19.059999999999999</v>
      </c>
      <c r="O65" s="58"/>
      <c r="P65" s="58"/>
      <c r="Q65" s="58"/>
      <c r="R65" s="58"/>
      <c r="S65" s="58"/>
    </row>
    <row r="66" spans="2:19" x14ac:dyDescent="0.2">
      <c r="B66" s="124" t="str">
        <f>IF(C9="","nie je zadaný požadovaný NFP","")</f>
        <v>nie je zadaný požadovaný NFP</v>
      </c>
      <c r="C66" s="124"/>
      <c r="D66" s="124"/>
      <c r="E66" s="124"/>
      <c r="F66" s="124"/>
      <c r="M66" s="59" t="s">
        <v>91</v>
      </c>
      <c r="N66" s="60">
        <v>13.1</v>
      </c>
      <c r="O66" s="58"/>
      <c r="P66" s="58"/>
      <c r="Q66" s="58"/>
      <c r="R66" s="58"/>
      <c r="S66" s="58"/>
    </row>
    <row r="67" spans="2:19" x14ac:dyDescent="0.2">
      <c r="B67" s="124" t="str">
        <f>IF(OR(P47=0,P47=""),"zadajte miesto realizácie","")</f>
        <v>zadajte miesto realizácie</v>
      </c>
      <c r="C67" s="124"/>
      <c r="D67" s="124"/>
      <c r="E67" s="124"/>
      <c r="F67" s="124"/>
      <c r="M67" s="59" t="s">
        <v>92</v>
      </c>
      <c r="N67" s="60">
        <v>17.399999999999999</v>
      </c>
      <c r="O67" s="58"/>
      <c r="P67" s="58"/>
      <c r="Q67" s="58"/>
      <c r="R67" s="58"/>
      <c r="S67" s="58"/>
    </row>
    <row r="68" spans="2:19" x14ac:dyDescent="0.2">
      <c r="B68" s="124" t="str">
        <f>IF(I15="","označte jednu možnosť v bodovacom kritériu č. 2")</f>
        <v>označte jednu možnosť v bodovacom kritériu č. 2</v>
      </c>
      <c r="C68" s="124"/>
      <c r="D68" s="124"/>
      <c r="E68" s="124"/>
      <c r="F68" s="124"/>
      <c r="M68" s="59" t="s">
        <v>93</v>
      </c>
      <c r="N68" s="60">
        <v>20.05</v>
      </c>
      <c r="O68" s="58"/>
      <c r="P68" s="58"/>
      <c r="Q68" s="58"/>
      <c r="R68" s="58"/>
      <c r="S68" s="58"/>
    </row>
    <row r="69" spans="2:19" x14ac:dyDescent="0.2">
      <c r="B69" s="124" t="str">
        <f>IF(I16="","označte jednu možnosť v bodovacom kritériu č. 3")</f>
        <v>označte jednu možnosť v bodovacom kritériu č. 3</v>
      </c>
      <c r="C69" s="124"/>
      <c r="D69" s="124"/>
      <c r="E69" s="124"/>
      <c r="F69" s="124"/>
      <c r="M69" s="59" t="s">
        <v>94</v>
      </c>
      <c r="N69" s="60">
        <v>21.25</v>
      </c>
      <c r="O69" s="58"/>
      <c r="P69" s="58"/>
      <c r="Q69" s="58"/>
      <c r="R69" s="58"/>
      <c r="S69" s="58"/>
    </row>
    <row r="70" spans="2:19" x14ac:dyDescent="0.2">
      <c r="B70" s="124" t="str">
        <f>IF(I20="","označte jednu možnosť v bodovacom kritériu č. 4","")</f>
        <v>označte jednu možnosť v bodovacom kritériu č. 4</v>
      </c>
      <c r="C70" s="124"/>
      <c r="D70" s="124"/>
      <c r="E70" s="124"/>
      <c r="F70" s="124"/>
      <c r="M70" s="59" t="s">
        <v>95</v>
      </c>
      <c r="N70" s="60">
        <v>17.91</v>
      </c>
      <c r="O70" s="58"/>
      <c r="P70" s="58"/>
      <c r="Q70" s="58"/>
      <c r="R70" s="58"/>
      <c r="S70" s="58"/>
    </row>
    <row r="71" spans="2:19" x14ac:dyDescent="0.2">
      <c r="B71" s="124" t="str">
        <f>IF(OR(P32="",P32=0),"označte jednu možnosť v bodovacom kritériu č. 5","")</f>
        <v>označte jednu možnosť v bodovacom kritériu č. 5</v>
      </c>
      <c r="C71" s="124"/>
      <c r="D71" s="124"/>
      <c r="E71" s="124"/>
      <c r="F71" s="124"/>
      <c r="M71" s="59" t="s">
        <v>96</v>
      </c>
      <c r="N71" s="60">
        <v>9.81</v>
      </c>
      <c r="O71" s="58"/>
      <c r="P71" s="58"/>
      <c r="Q71" s="58"/>
      <c r="R71" s="58"/>
      <c r="S71" s="58"/>
    </row>
    <row r="72" spans="2:19" x14ac:dyDescent="0.2">
      <c r="B72" s="124" t="str">
        <f>IF(OR(P48="",P48=0),"označte jednu možnosť v bodovacom kritériu č. 6","")</f>
        <v>označte jednu možnosť v bodovacom kritériu č. 6</v>
      </c>
      <c r="C72" s="124"/>
      <c r="D72" s="124"/>
      <c r="E72" s="124"/>
      <c r="F72" s="124"/>
      <c r="M72" s="59" t="s">
        <v>97</v>
      </c>
      <c r="N72" s="60">
        <v>9.39</v>
      </c>
      <c r="O72" s="58"/>
      <c r="P72" s="58"/>
      <c r="Q72" s="58"/>
      <c r="R72" s="58"/>
      <c r="S72" s="58"/>
    </row>
    <row r="73" spans="2:19" x14ac:dyDescent="0.2">
      <c r="B73" s="124" t="str">
        <f>IF(OR(H50="",H51="",H52="",H53="",H54="",H55="",H56="",H57=""),"zadajte Výdavky v bodovacom kritériu č. 7 - aj nulové hodnoty","")</f>
        <v>zadajte Výdavky v bodovacom kritériu č. 7 - aj nulové hodnoty</v>
      </c>
      <c r="C73" s="124"/>
      <c r="D73" s="124"/>
      <c r="E73" s="124"/>
      <c r="F73" s="124"/>
      <c r="M73" s="59" t="s">
        <v>98</v>
      </c>
      <c r="N73" s="60">
        <v>8.56</v>
      </c>
      <c r="O73" s="58"/>
      <c r="P73" s="58"/>
      <c r="Q73" s="58"/>
      <c r="R73" s="58"/>
      <c r="S73" s="58"/>
    </row>
    <row r="74" spans="2:19" x14ac:dyDescent="0.2">
      <c r="M74" s="59" t="s">
        <v>99</v>
      </c>
      <c r="N74" s="60">
        <v>9.3699999999999992</v>
      </c>
      <c r="O74" s="58"/>
      <c r="P74" s="58"/>
      <c r="Q74" s="58"/>
      <c r="R74" s="58"/>
      <c r="S74" s="58"/>
    </row>
    <row r="75" spans="2:19" x14ac:dyDescent="0.2">
      <c r="M75" s="59" t="s">
        <v>100</v>
      </c>
      <c r="N75" s="60">
        <v>19.2</v>
      </c>
      <c r="O75" s="58"/>
      <c r="P75" s="58"/>
      <c r="Q75" s="58"/>
      <c r="R75" s="58"/>
      <c r="S75" s="58"/>
    </row>
    <row r="76" spans="2:19" x14ac:dyDescent="0.2">
      <c r="M76" s="59" t="s">
        <v>101</v>
      </c>
      <c r="N76" s="60">
        <v>16.78</v>
      </c>
      <c r="O76" s="58"/>
      <c r="P76" s="58"/>
      <c r="Q76" s="58"/>
      <c r="R76" s="58"/>
      <c r="S76" s="58"/>
    </row>
    <row r="77" spans="2:19" x14ac:dyDescent="0.2">
      <c r="M77" s="59" t="s">
        <v>102</v>
      </c>
      <c r="N77" s="60">
        <v>24.27</v>
      </c>
      <c r="O77" s="58"/>
      <c r="P77" s="58"/>
      <c r="Q77" s="58"/>
      <c r="R77" s="58"/>
      <c r="S77" s="58"/>
    </row>
    <row r="78" spans="2:19" x14ac:dyDescent="0.2">
      <c r="M78" s="59" t="s">
        <v>103</v>
      </c>
      <c r="N78" s="60">
        <v>20.91</v>
      </c>
      <c r="O78" s="58"/>
      <c r="P78" s="58"/>
      <c r="Q78" s="58"/>
      <c r="R78" s="58"/>
      <c r="S78" s="58"/>
    </row>
    <row r="79" spans="2:19" x14ac:dyDescent="0.2">
      <c r="M79" s="59" t="s">
        <v>104</v>
      </c>
      <c r="N79" s="60">
        <v>15.12</v>
      </c>
      <c r="O79" s="58"/>
      <c r="P79" s="58"/>
      <c r="Q79" s="58"/>
      <c r="R79" s="58"/>
      <c r="S79" s="58"/>
    </row>
    <row r="80" spans="2:19" x14ac:dyDescent="0.2">
      <c r="M80" s="59" t="s">
        <v>105</v>
      </c>
      <c r="N80" s="60">
        <v>20.010000000000002</v>
      </c>
      <c r="O80" s="58"/>
      <c r="P80" s="58"/>
      <c r="Q80" s="58"/>
      <c r="R80" s="58"/>
      <c r="S80" s="58"/>
    </row>
    <row r="81" spans="15:19" x14ac:dyDescent="0.2">
      <c r="O81" s="58"/>
      <c r="P81" s="58"/>
      <c r="Q81" s="58"/>
      <c r="R81" s="58"/>
      <c r="S81" s="58"/>
    </row>
  </sheetData>
  <sheetProtection algorithmName="SHA-512" hashValue="cnXSwECK6JElIxOdBu10rJSZIXwPJ462z7h3rjvhBICTFZ9SGzVmTa4F+LbGEkspdvgSG7AyElrmH2WHeqtnrg==" saltValue="Qr+LQv43ZNp1rsq2X0UnKw==" spinCount="100000" sheet="1" objects="1" scenarios="1"/>
  <mergeCells count="82">
    <mergeCell ref="B73:F73"/>
    <mergeCell ref="B68:F68"/>
    <mergeCell ref="B69:F69"/>
    <mergeCell ref="B70:F70"/>
    <mergeCell ref="B71:F71"/>
    <mergeCell ref="B72:F72"/>
    <mergeCell ref="B63:F63"/>
    <mergeCell ref="B64:F64"/>
    <mergeCell ref="B65:F65"/>
    <mergeCell ref="B66:F66"/>
    <mergeCell ref="B67:F67"/>
    <mergeCell ref="A12:A14"/>
    <mergeCell ref="I16:I19"/>
    <mergeCell ref="C4:I4"/>
    <mergeCell ref="B12:E12"/>
    <mergeCell ref="I12:I14"/>
    <mergeCell ref="B13:E13"/>
    <mergeCell ref="B14:E14"/>
    <mergeCell ref="G12:G14"/>
    <mergeCell ref="C5:D5"/>
    <mergeCell ref="C6:D6"/>
    <mergeCell ref="C7:D7"/>
    <mergeCell ref="C8:D8"/>
    <mergeCell ref="C9:D9"/>
    <mergeCell ref="H13:H14"/>
    <mergeCell ref="B15:E15"/>
    <mergeCell ref="B16:E16"/>
    <mergeCell ref="A58:G58"/>
    <mergeCell ref="B19:E19"/>
    <mergeCell ref="A16:A19"/>
    <mergeCell ref="B39:E39"/>
    <mergeCell ref="B40:E40"/>
    <mergeCell ref="B41:E41"/>
    <mergeCell ref="B20:E20"/>
    <mergeCell ref="B55:E55"/>
    <mergeCell ref="B56:E56"/>
    <mergeCell ref="B57:E57"/>
    <mergeCell ref="A49:A57"/>
    <mergeCell ref="A42:A48"/>
    <mergeCell ref="B43:E43"/>
    <mergeCell ref="G16:G18"/>
    <mergeCell ref="G21:G41"/>
    <mergeCell ref="B26:E26"/>
    <mergeCell ref="B27:E27"/>
    <mergeCell ref="B28:E28"/>
    <mergeCell ref="B29:E29"/>
    <mergeCell ref="B44:E44"/>
    <mergeCell ref="B17:E17"/>
    <mergeCell ref="B18:E18"/>
    <mergeCell ref="B21:E21"/>
    <mergeCell ref="B23:E23"/>
    <mergeCell ref="B37:E37"/>
    <mergeCell ref="B45:E45"/>
    <mergeCell ref="B46:E46"/>
    <mergeCell ref="A21:A41"/>
    <mergeCell ref="B51:E51"/>
    <mergeCell ref="B42:E42"/>
    <mergeCell ref="B24:E24"/>
    <mergeCell ref="B25:E25"/>
    <mergeCell ref="B30:E30"/>
    <mergeCell ref="B31:E31"/>
    <mergeCell ref="B32:E32"/>
    <mergeCell ref="B33:E33"/>
    <mergeCell ref="B22:E22"/>
    <mergeCell ref="B34:E34"/>
    <mergeCell ref="B35:E35"/>
    <mergeCell ref="B36:E36"/>
    <mergeCell ref="B38:E38"/>
    <mergeCell ref="B52:E52"/>
    <mergeCell ref="B53:E53"/>
    <mergeCell ref="B54:E54"/>
    <mergeCell ref="B47:E47"/>
    <mergeCell ref="B48:E48"/>
    <mergeCell ref="B49:E49"/>
    <mergeCell ref="B50:E50"/>
    <mergeCell ref="G49:G57"/>
    <mergeCell ref="G42:G48"/>
    <mergeCell ref="I21:I41"/>
    <mergeCell ref="I42:I48"/>
    <mergeCell ref="I49:I57"/>
    <mergeCell ref="H21:H41"/>
    <mergeCell ref="H43:H48"/>
  </mergeCells>
  <conditionalFormatting sqref="B63">
    <cfRule type="cellIs" dxfId="12" priority="11" operator="equal">
      <formula>"nie sú zadané OV"</formula>
    </cfRule>
  </conditionalFormatting>
  <conditionalFormatting sqref="B64">
    <cfRule type="cellIs" dxfId="11" priority="10" operator="equal">
      <formula>"nie je zadaná výmera obhospodarovanej pôdy"</formula>
    </cfRule>
  </conditionalFormatting>
  <conditionalFormatting sqref="B65">
    <cfRule type="cellIs" dxfId="10" priority="9" operator="equal">
      <formula>"nie je vyplnený hárok nezamestanosť"</formula>
    </cfRule>
  </conditionalFormatting>
  <conditionalFormatting sqref="B66">
    <cfRule type="cellIs" dxfId="9" priority="8" operator="equal">
      <formula>"nie je zadaný požadovaný NFP"</formula>
    </cfRule>
  </conditionalFormatting>
  <conditionalFormatting sqref="B67">
    <cfRule type="cellIs" dxfId="8" priority="7" operator="equal">
      <formula>"zadajte miesto realizácie"</formula>
    </cfRule>
  </conditionalFormatting>
  <conditionalFormatting sqref="B68">
    <cfRule type="cellIs" dxfId="7" priority="6" operator="equal">
      <formula>"označte jednu možnosť v bodovacom kritériu č. 2"</formula>
    </cfRule>
  </conditionalFormatting>
  <conditionalFormatting sqref="B69">
    <cfRule type="cellIs" dxfId="6" priority="5" operator="equal">
      <formula>"označte jednu možnosť v bodovacom kritériu č. 3"</formula>
    </cfRule>
  </conditionalFormatting>
  <conditionalFormatting sqref="B70">
    <cfRule type="cellIs" dxfId="5" priority="4" operator="equal">
      <formula>"označte jednu možnosť v bodovacom kritériu č. 4"</formula>
    </cfRule>
  </conditionalFormatting>
  <conditionalFormatting sqref="B71">
    <cfRule type="cellIs" dxfId="4" priority="3" operator="equal">
      <formula>"označte jednu možnosť v bodovacom kritériu č. 5"</formula>
    </cfRule>
  </conditionalFormatting>
  <conditionalFormatting sqref="B72">
    <cfRule type="cellIs" dxfId="3" priority="2" operator="equal">
      <formula>"označte jednu možnosť v bodovacom kritériu č. 6"</formula>
    </cfRule>
  </conditionalFormatting>
  <conditionalFormatting sqref="B73">
    <cfRule type="cellIs" dxfId="2" priority="1" operator="equal">
      <formula>"zadajte Výdavky v bodovacom kritériu č. 7 - aj nulové hodnoty"</formula>
    </cfRule>
  </conditionalFormatting>
  <printOptions horizontalCentered="1"/>
  <pageMargins left="0.19685039370078741" right="0.19685039370078741" top="0.39370078740157483" bottom="0.59055118110236227" header="0.31496062992125984" footer="0.31496062992125984"/>
  <pageSetup paperSize="9" orientation="landscape"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Group Box 15">
              <controlPr defaultSize="0" autoFill="0" autoPict="0">
                <anchor moveWithCells="1">
                  <from>
                    <xdr:col>7</xdr:col>
                    <xdr:colOff>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040" r:id="rId5" name="Option Button 16">
              <controlPr defaultSize="0" autoFill="0" autoLine="0" autoPict="0">
                <anchor moveWithCells="1">
                  <from>
                    <xdr:col>7</xdr:col>
                    <xdr:colOff>381000</xdr:colOff>
                    <xdr:row>14</xdr:row>
                    <xdr:rowOff>323850</xdr:rowOff>
                  </from>
                  <to>
                    <xdr:col>7</xdr:col>
                    <xdr:colOff>1104900</xdr:colOff>
                    <xdr:row>14</xdr:row>
                    <xdr:rowOff>571500</xdr:rowOff>
                  </to>
                </anchor>
              </controlPr>
            </control>
          </mc:Choice>
        </mc:AlternateContent>
        <mc:AlternateContent xmlns:mc="http://schemas.openxmlformats.org/markup-compatibility/2006">
          <mc:Choice Requires="x14">
            <control shapeId="1041" r:id="rId6" name="Option Button 17">
              <controlPr defaultSize="0" autoFill="0" autoLine="0" autoPict="0">
                <anchor moveWithCells="1">
                  <from>
                    <xdr:col>7</xdr:col>
                    <xdr:colOff>381000</xdr:colOff>
                    <xdr:row>14</xdr:row>
                    <xdr:rowOff>704850</xdr:rowOff>
                  </from>
                  <to>
                    <xdr:col>7</xdr:col>
                    <xdr:colOff>1104900</xdr:colOff>
                    <xdr:row>14</xdr:row>
                    <xdr:rowOff>952500</xdr:rowOff>
                  </to>
                </anchor>
              </controlPr>
            </control>
          </mc:Choice>
        </mc:AlternateContent>
        <mc:AlternateContent xmlns:mc="http://schemas.openxmlformats.org/markup-compatibility/2006">
          <mc:Choice Requires="x14">
            <control shapeId="1042" r:id="rId7" name="Group Box 18">
              <controlPr defaultSize="0" autoFill="0" autoPict="0">
                <anchor moveWithCells="1">
                  <from>
                    <xdr:col>7</xdr:col>
                    <xdr:colOff>0</xdr:colOff>
                    <xdr:row>15</xdr:row>
                    <xdr:rowOff>0</xdr:rowOff>
                  </from>
                  <to>
                    <xdr:col>8</xdr:col>
                    <xdr:colOff>0</xdr:colOff>
                    <xdr:row>19</xdr:row>
                    <xdr:rowOff>0</xdr:rowOff>
                  </to>
                </anchor>
              </controlPr>
            </control>
          </mc:Choice>
        </mc:AlternateContent>
        <mc:AlternateContent xmlns:mc="http://schemas.openxmlformats.org/markup-compatibility/2006">
          <mc:Choice Requires="x14">
            <control shapeId="1043" r:id="rId8" name="Option Button 19">
              <controlPr defaultSize="0" autoFill="0" autoLine="0" autoPict="0">
                <anchor moveWithCells="1">
                  <from>
                    <xdr:col>7</xdr:col>
                    <xdr:colOff>390525</xdr:colOff>
                    <xdr:row>15</xdr:row>
                    <xdr:rowOff>171450</xdr:rowOff>
                  </from>
                  <to>
                    <xdr:col>7</xdr:col>
                    <xdr:colOff>1114425</xdr:colOff>
                    <xdr:row>15</xdr:row>
                    <xdr:rowOff>419100</xdr:rowOff>
                  </to>
                </anchor>
              </controlPr>
            </control>
          </mc:Choice>
        </mc:AlternateContent>
        <mc:AlternateContent xmlns:mc="http://schemas.openxmlformats.org/markup-compatibility/2006">
          <mc:Choice Requires="x14">
            <control shapeId="1044" r:id="rId9" name="Option Button 20">
              <controlPr defaultSize="0" autoFill="0" autoLine="0" autoPict="0">
                <anchor moveWithCells="1">
                  <from>
                    <xdr:col>7</xdr:col>
                    <xdr:colOff>381000</xdr:colOff>
                    <xdr:row>16</xdr:row>
                    <xdr:rowOff>47625</xdr:rowOff>
                  </from>
                  <to>
                    <xdr:col>7</xdr:col>
                    <xdr:colOff>1104900</xdr:colOff>
                    <xdr:row>16</xdr:row>
                    <xdr:rowOff>295275</xdr:rowOff>
                  </to>
                </anchor>
              </controlPr>
            </control>
          </mc:Choice>
        </mc:AlternateContent>
        <mc:AlternateContent xmlns:mc="http://schemas.openxmlformats.org/markup-compatibility/2006">
          <mc:Choice Requires="x14">
            <control shapeId="1045" r:id="rId10" name="Option Button 21">
              <controlPr defaultSize="0" autoFill="0" autoLine="0" autoPict="0">
                <anchor moveWithCells="1">
                  <from>
                    <xdr:col>7</xdr:col>
                    <xdr:colOff>381000</xdr:colOff>
                    <xdr:row>17</xdr:row>
                    <xdr:rowOff>47625</xdr:rowOff>
                  </from>
                  <to>
                    <xdr:col>7</xdr:col>
                    <xdr:colOff>1104900</xdr:colOff>
                    <xdr:row>17</xdr:row>
                    <xdr:rowOff>295275</xdr:rowOff>
                  </to>
                </anchor>
              </controlPr>
            </control>
          </mc:Choice>
        </mc:AlternateContent>
        <mc:AlternateContent xmlns:mc="http://schemas.openxmlformats.org/markup-compatibility/2006">
          <mc:Choice Requires="x14">
            <control shapeId="1046" r:id="rId11" name="Group Box 22">
              <controlPr defaultSize="0" autoFill="0" autoPict="0">
                <anchor moveWithCells="1">
                  <from>
                    <xdr:col>7</xdr:col>
                    <xdr:colOff>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1047" r:id="rId12" name="Option Button 23">
              <controlPr defaultSize="0" autoFill="0" autoLine="0" autoPict="0">
                <anchor moveWithCells="1">
                  <from>
                    <xdr:col>7</xdr:col>
                    <xdr:colOff>381000</xdr:colOff>
                    <xdr:row>19</xdr:row>
                    <xdr:rowOff>95250</xdr:rowOff>
                  </from>
                  <to>
                    <xdr:col>7</xdr:col>
                    <xdr:colOff>1104900</xdr:colOff>
                    <xdr:row>19</xdr:row>
                    <xdr:rowOff>342900</xdr:rowOff>
                  </to>
                </anchor>
              </controlPr>
            </control>
          </mc:Choice>
        </mc:AlternateContent>
        <mc:AlternateContent xmlns:mc="http://schemas.openxmlformats.org/markup-compatibility/2006">
          <mc:Choice Requires="x14">
            <control shapeId="1048" r:id="rId13" name="Option Button 24">
              <controlPr defaultSize="0" autoFill="0" autoLine="0" autoPict="0">
                <anchor moveWithCells="1">
                  <from>
                    <xdr:col>7</xdr:col>
                    <xdr:colOff>381000</xdr:colOff>
                    <xdr:row>19</xdr:row>
                    <xdr:rowOff>419100</xdr:rowOff>
                  </from>
                  <to>
                    <xdr:col>7</xdr:col>
                    <xdr:colOff>1104900</xdr:colOff>
                    <xdr:row>19</xdr:row>
                    <xdr:rowOff>666750</xdr:rowOff>
                  </to>
                </anchor>
              </controlPr>
            </control>
          </mc:Choice>
        </mc:AlternateContent>
        <mc:AlternateContent xmlns:mc="http://schemas.openxmlformats.org/markup-compatibility/2006">
          <mc:Choice Requires="x14">
            <control shapeId="1049" r:id="rId14" name="Group Box 25">
              <controlPr defaultSize="0" autoFill="0" autoPict="0">
                <anchor moveWithCells="1">
                  <from>
                    <xdr:col>7</xdr:col>
                    <xdr:colOff>0</xdr:colOff>
                    <xdr:row>20</xdr:row>
                    <xdr:rowOff>0</xdr:rowOff>
                  </from>
                  <to>
                    <xdr:col>8</xdr:col>
                    <xdr:colOff>0</xdr:colOff>
                    <xdr:row>41</xdr:row>
                    <xdr:rowOff>0</xdr:rowOff>
                  </to>
                </anchor>
              </controlPr>
            </control>
          </mc:Choice>
        </mc:AlternateContent>
        <mc:AlternateContent xmlns:mc="http://schemas.openxmlformats.org/markup-compatibility/2006">
          <mc:Choice Requires="x14">
            <control shapeId="1050" r:id="rId15" name="Option Button 26">
              <controlPr defaultSize="0" autoFill="0" autoLine="0" autoPict="0">
                <anchor moveWithCells="1">
                  <from>
                    <xdr:col>7</xdr:col>
                    <xdr:colOff>361950</xdr:colOff>
                    <xdr:row>25</xdr:row>
                    <xdr:rowOff>66675</xdr:rowOff>
                  </from>
                  <to>
                    <xdr:col>7</xdr:col>
                    <xdr:colOff>1085850</xdr:colOff>
                    <xdr:row>26</xdr:row>
                    <xdr:rowOff>152400</xdr:rowOff>
                  </to>
                </anchor>
              </controlPr>
            </control>
          </mc:Choice>
        </mc:AlternateContent>
        <mc:AlternateContent xmlns:mc="http://schemas.openxmlformats.org/markup-compatibility/2006">
          <mc:Choice Requires="x14">
            <control shapeId="1051" r:id="rId16" name="Option Button 27">
              <controlPr defaultSize="0" autoFill="0" autoLine="0" autoPict="0">
                <anchor moveWithCells="1">
                  <from>
                    <xdr:col>7</xdr:col>
                    <xdr:colOff>342900</xdr:colOff>
                    <xdr:row>31</xdr:row>
                    <xdr:rowOff>266700</xdr:rowOff>
                  </from>
                  <to>
                    <xdr:col>7</xdr:col>
                    <xdr:colOff>1066800</xdr:colOff>
                    <xdr:row>33</xdr:row>
                    <xdr:rowOff>9525</xdr:rowOff>
                  </to>
                </anchor>
              </controlPr>
            </control>
          </mc:Choice>
        </mc:AlternateContent>
        <mc:AlternateContent xmlns:mc="http://schemas.openxmlformats.org/markup-compatibility/2006">
          <mc:Choice Requires="x14">
            <control shapeId="1053" r:id="rId17" name="Group Box 29">
              <controlPr defaultSize="0" autoFill="0" autoPict="0">
                <anchor moveWithCells="1">
                  <from>
                    <xdr:col>2</xdr:col>
                    <xdr:colOff>0</xdr:colOff>
                    <xdr:row>7</xdr:row>
                    <xdr:rowOff>0</xdr:rowOff>
                  </from>
                  <to>
                    <xdr:col>4</xdr:col>
                    <xdr:colOff>0</xdr:colOff>
                    <xdr:row>8</xdr:row>
                    <xdr:rowOff>0</xdr:rowOff>
                  </to>
                </anchor>
              </controlPr>
            </control>
          </mc:Choice>
        </mc:AlternateContent>
        <mc:AlternateContent xmlns:mc="http://schemas.openxmlformats.org/markup-compatibility/2006">
          <mc:Choice Requires="x14">
            <control shapeId="1054" r:id="rId18" name="Option Button 30">
              <controlPr defaultSize="0" autoFill="0" autoLine="0" autoPict="0">
                <anchor moveWithCells="1">
                  <from>
                    <xdr:col>2</xdr:col>
                    <xdr:colOff>0</xdr:colOff>
                    <xdr:row>7</xdr:row>
                    <xdr:rowOff>0</xdr:rowOff>
                  </from>
                  <to>
                    <xdr:col>2</xdr:col>
                    <xdr:colOff>1114425</xdr:colOff>
                    <xdr:row>7</xdr:row>
                    <xdr:rowOff>219075</xdr:rowOff>
                  </to>
                </anchor>
              </controlPr>
            </control>
          </mc:Choice>
        </mc:AlternateContent>
        <mc:AlternateContent xmlns:mc="http://schemas.openxmlformats.org/markup-compatibility/2006">
          <mc:Choice Requires="x14">
            <control shapeId="1055" r:id="rId19" name="Option Button 31">
              <controlPr defaultSize="0" autoFill="0" autoLine="0" autoPict="0">
                <anchor moveWithCells="1">
                  <from>
                    <xdr:col>2</xdr:col>
                    <xdr:colOff>0</xdr:colOff>
                    <xdr:row>7</xdr:row>
                    <xdr:rowOff>295275</xdr:rowOff>
                  </from>
                  <to>
                    <xdr:col>2</xdr:col>
                    <xdr:colOff>1047750</xdr:colOff>
                    <xdr:row>7</xdr:row>
                    <xdr:rowOff>476250</xdr:rowOff>
                  </to>
                </anchor>
              </controlPr>
            </control>
          </mc:Choice>
        </mc:AlternateContent>
        <mc:AlternateContent xmlns:mc="http://schemas.openxmlformats.org/markup-compatibility/2006">
          <mc:Choice Requires="x14">
            <control shapeId="1056" r:id="rId20" name="Group Box 32">
              <controlPr defaultSize="0" autoFill="0" autoPict="0">
                <anchor moveWithCells="1">
                  <from>
                    <xdr:col>7</xdr:col>
                    <xdr:colOff>0</xdr:colOff>
                    <xdr:row>42</xdr:row>
                    <xdr:rowOff>0</xdr:rowOff>
                  </from>
                  <to>
                    <xdr:col>8</xdr:col>
                    <xdr:colOff>0</xdr:colOff>
                    <xdr:row>48</xdr:row>
                    <xdr:rowOff>0</xdr:rowOff>
                  </to>
                </anchor>
              </controlPr>
            </control>
          </mc:Choice>
        </mc:AlternateContent>
        <mc:AlternateContent xmlns:mc="http://schemas.openxmlformats.org/markup-compatibility/2006">
          <mc:Choice Requires="x14">
            <control shapeId="1057" r:id="rId21" name="Option Button 33">
              <controlPr defaultSize="0" autoFill="0" autoLine="0" autoPict="0">
                <anchor moveWithCells="1">
                  <from>
                    <xdr:col>7</xdr:col>
                    <xdr:colOff>295275</xdr:colOff>
                    <xdr:row>43</xdr:row>
                    <xdr:rowOff>0</xdr:rowOff>
                  </from>
                  <to>
                    <xdr:col>7</xdr:col>
                    <xdr:colOff>1019175</xdr:colOff>
                    <xdr:row>44</xdr:row>
                    <xdr:rowOff>85725</xdr:rowOff>
                  </to>
                </anchor>
              </controlPr>
            </control>
          </mc:Choice>
        </mc:AlternateContent>
        <mc:AlternateContent xmlns:mc="http://schemas.openxmlformats.org/markup-compatibility/2006">
          <mc:Choice Requires="x14">
            <control shapeId="1058" r:id="rId22" name="Option Button 34">
              <controlPr defaultSize="0" autoFill="0" autoLine="0" autoPict="0">
                <anchor moveWithCells="1">
                  <from>
                    <xdr:col>7</xdr:col>
                    <xdr:colOff>295275</xdr:colOff>
                    <xdr:row>44</xdr:row>
                    <xdr:rowOff>152400</xdr:rowOff>
                  </from>
                  <to>
                    <xdr:col>7</xdr:col>
                    <xdr:colOff>1019175</xdr:colOff>
                    <xdr:row>46</xdr:row>
                    <xdr:rowOff>76200</xdr:rowOff>
                  </to>
                </anchor>
              </controlPr>
            </control>
          </mc:Choice>
        </mc:AlternateContent>
        <mc:AlternateContent xmlns:mc="http://schemas.openxmlformats.org/markup-compatibility/2006">
          <mc:Choice Requires="x14">
            <control shapeId="1060" r:id="rId23" name="Option Button 36">
              <controlPr defaultSize="0" autoFill="0" autoLine="0" autoPict="0">
                <anchor moveWithCells="1">
                  <from>
                    <xdr:col>7</xdr:col>
                    <xdr:colOff>381000</xdr:colOff>
                    <xdr:row>18</xdr:row>
                    <xdr:rowOff>47625</xdr:rowOff>
                  </from>
                  <to>
                    <xdr:col>7</xdr:col>
                    <xdr:colOff>1104900</xdr:colOff>
                    <xdr:row>18</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B11" sqref="B11"/>
    </sheetView>
  </sheetViews>
  <sheetFormatPr defaultRowHeight="15" x14ac:dyDescent="0.25"/>
  <cols>
    <col min="1" max="1" width="10" customWidth="1"/>
    <col min="2" max="2" width="31.5703125" customWidth="1"/>
    <col min="3" max="3" width="9.140625" hidden="1" customWidth="1"/>
    <col min="4" max="4" width="12.5703125" hidden="1" customWidth="1"/>
    <col min="5" max="5" width="12.5703125" bestFit="1" customWidth="1"/>
    <col min="6" max="6" width="14.7109375" hidden="1" customWidth="1"/>
    <col min="7" max="7" width="5.28515625" hidden="1" customWidth="1"/>
    <col min="8" max="8" width="23.28515625" customWidth="1"/>
    <col min="9" max="9" width="22.28515625" customWidth="1"/>
  </cols>
  <sheetData>
    <row r="1" spans="1:9" x14ac:dyDescent="0.25">
      <c r="A1" s="20" t="s">
        <v>107</v>
      </c>
    </row>
    <row r="2" spans="1:9" x14ac:dyDescent="0.25">
      <c r="A2" s="27" t="s">
        <v>108</v>
      </c>
    </row>
    <row r="4" spans="1:9" x14ac:dyDescent="0.25">
      <c r="A4" s="1" t="s">
        <v>0</v>
      </c>
      <c r="B4" s="125"/>
      <c r="C4" s="125"/>
      <c r="D4" s="125"/>
      <c r="E4" s="125"/>
      <c r="F4" s="125"/>
      <c r="G4" s="125"/>
      <c r="H4" s="125"/>
      <c r="I4" s="125"/>
    </row>
    <row r="5" spans="1:9" x14ac:dyDescent="0.25">
      <c r="A5" s="1" t="s">
        <v>1</v>
      </c>
      <c r="B5" s="125"/>
      <c r="C5" s="125"/>
      <c r="D5" s="125"/>
      <c r="E5" s="125"/>
      <c r="F5" s="125"/>
      <c r="G5" s="125"/>
      <c r="H5" s="125"/>
      <c r="I5" s="125"/>
    </row>
    <row r="8" spans="1:9" x14ac:dyDescent="0.25">
      <c r="A8" s="11" t="s">
        <v>17</v>
      </c>
    </row>
    <row r="9" spans="1:9" x14ac:dyDescent="0.25">
      <c r="C9" s="12" t="s">
        <v>18</v>
      </c>
      <c r="D9" s="12" t="s">
        <v>18</v>
      </c>
      <c r="F9" s="12" t="s">
        <v>18</v>
      </c>
      <c r="G9" s="12" t="s">
        <v>18</v>
      </c>
    </row>
    <row r="10" spans="1:9" x14ac:dyDescent="0.25">
      <c r="A10" s="10" t="s">
        <v>4</v>
      </c>
      <c r="B10" s="10" t="s">
        <v>19</v>
      </c>
      <c r="C10" s="10" t="s">
        <v>20</v>
      </c>
      <c r="D10" s="10" t="s">
        <v>21</v>
      </c>
      <c r="E10" s="10" t="s">
        <v>21</v>
      </c>
      <c r="F10" s="13"/>
      <c r="G10" s="13"/>
      <c r="H10" s="10" t="s">
        <v>22</v>
      </c>
      <c r="I10" s="10" t="s">
        <v>23</v>
      </c>
    </row>
    <row r="11" spans="1:9" x14ac:dyDescent="0.25">
      <c r="A11" s="14">
        <v>1</v>
      </c>
      <c r="B11" s="71"/>
      <c r="C11" s="15"/>
      <c r="D11" s="13" t="e">
        <f>VLOOKUP(B11,'4.1_1'!$M$1:$N$80,2,0)</f>
        <v>#N/A</v>
      </c>
      <c r="E11" s="74">
        <f>IFERROR(D11,0)</f>
        <v>0</v>
      </c>
      <c r="F11" s="74" t="str">
        <f>IF(E11&gt;0,1,"")</f>
        <v/>
      </c>
      <c r="G11" s="74">
        <f>COUNTIF($B$11:$B$40,B11)</f>
        <v>0</v>
      </c>
      <c r="H11" s="75" t="str">
        <f>IF(G11&gt;1,"okres je zadaný viackrát","")</f>
        <v/>
      </c>
      <c r="I11" s="75" t="str">
        <f>IF(B11="","nezadané miesto realizácie"," ")</f>
        <v>nezadané miesto realizácie</v>
      </c>
    </row>
    <row r="12" spans="1:9" x14ac:dyDescent="0.25">
      <c r="A12" s="14">
        <v>2</v>
      </c>
      <c r="B12" s="71"/>
      <c r="C12" s="15"/>
      <c r="D12" s="13" t="e">
        <f>VLOOKUP(B12,'4.1_1'!$M$1:$N$80,2,0)</f>
        <v>#N/A</v>
      </c>
      <c r="E12" s="74">
        <f t="shared" ref="E12:E40" si="0">IFERROR(D12,0)</f>
        <v>0</v>
      </c>
      <c r="F12" s="74" t="str">
        <f t="shared" ref="F12:F40" si="1">IF(E12&gt;0,1,"")</f>
        <v/>
      </c>
      <c r="G12" s="74">
        <f t="shared" ref="G12:G40" si="2">COUNTIF($B$11:$B$40,B12)</f>
        <v>0</v>
      </c>
      <c r="H12" s="75" t="str">
        <f t="shared" ref="H12:H40" si="3">IF(G12&gt;1,"okres je zadaný viackrát","")</f>
        <v/>
      </c>
      <c r="I12" s="75"/>
    </row>
    <row r="13" spans="1:9" x14ac:dyDescent="0.25">
      <c r="A13" s="14">
        <v>3</v>
      </c>
      <c r="B13" s="71"/>
      <c r="C13" s="15"/>
      <c r="D13" s="13" t="e">
        <f>VLOOKUP(B13,'4.1_1'!$M$1:$N$80,2,0)</f>
        <v>#N/A</v>
      </c>
      <c r="E13" s="74">
        <f t="shared" si="0"/>
        <v>0</v>
      </c>
      <c r="F13" s="74" t="str">
        <f t="shared" si="1"/>
        <v/>
      </c>
      <c r="G13" s="74">
        <f t="shared" si="2"/>
        <v>0</v>
      </c>
      <c r="H13" s="75" t="str">
        <f t="shared" si="3"/>
        <v/>
      </c>
      <c r="I13" s="75"/>
    </row>
    <row r="14" spans="1:9" x14ac:dyDescent="0.25">
      <c r="A14" s="14">
        <v>4</v>
      </c>
      <c r="B14" s="71"/>
      <c r="C14" s="15"/>
      <c r="D14" s="13" t="e">
        <f>VLOOKUP(B14,'4.1_1'!$M$1:$N$80,2,0)</f>
        <v>#N/A</v>
      </c>
      <c r="E14" s="74">
        <f t="shared" si="0"/>
        <v>0</v>
      </c>
      <c r="F14" s="74" t="str">
        <f t="shared" si="1"/>
        <v/>
      </c>
      <c r="G14" s="74">
        <f t="shared" si="2"/>
        <v>0</v>
      </c>
      <c r="H14" s="75" t="str">
        <f t="shared" si="3"/>
        <v/>
      </c>
      <c r="I14" s="75"/>
    </row>
    <row r="15" spans="1:9" x14ac:dyDescent="0.25">
      <c r="A15" s="14">
        <v>5</v>
      </c>
      <c r="B15" s="71"/>
      <c r="C15" s="15"/>
      <c r="D15" s="13" t="e">
        <f>VLOOKUP(B15,'4.1_1'!$M$1:$N$80,2,0)</f>
        <v>#N/A</v>
      </c>
      <c r="E15" s="74">
        <f t="shared" si="0"/>
        <v>0</v>
      </c>
      <c r="F15" s="74" t="str">
        <f t="shared" si="1"/>
        <v/>
      </c>
      <c r="G15" s="74">
        <f t="shared" si="2"/>
        <v>0</v>
      </c>
      <c r="H15" s="75" t="str">
        <f t="shared" si="3"/>
        <v/>
      </c>
      <c r="I15" s="75"/>
    </row>
    <row r="16" spans="1:9" x14ac:dyDescent="0.25">
      <c r="A16" s="14">
        <v>6</v>
      </c>
      <c r="B16" s="71"/>
      <c r="C16" s="15"/>
      <c r="D16" s="13" t="e">
        <f>VLOOKUP(B16,'4.1_1'!$M$1:$N$80,2,0)</f>
        <v>#N/A</v>
      </c>
      <c r="E16" s="74">
        <f t="shared" si="0"/>
        <v>0</v>
      </c>
      <c r="F16" s="74" t="str">
        <f t="shared" si="1"/>
        <v/>
      </c>
      <c r="G16" s="74">
        <f t="shared" si="2"/>
        <v>0</v>
      </c>
      <c r="H16" s="75" t="str">
        <f t="shared" si="3"/>
        <v/>
      </c>
      <c r="I16" s="75"/>
    </row>
    <row r="17" spans="1:9" x14ac:dyDescent="0.25">
      <c r="A17" s="14">
        <v>7</v>
      </c>
      <c r="B17" s="71"/>
      <c r="C17" s="15"/>
      <c r="D17" s="13" t="e">
        <f>VLOOKUP(B17,'4.1_1'!$M$1:$N$80,2,0)</f>
        <v>#N/A</v>
      </c>
      <c r="E17" s="74">
        <f t="shared" si="0"/>
        <v>0</v>
      </c>
      <c r="F17" s="74" t="str">
        <f t="shared" si="1"/>
        <v/>
      </c>
      <c r="G17" s="74">
        <f t="shared" si="2"/>
        <v>0</v>
      </c>
      <c r="H17" s="75" t="str">
        <f t="shared" si="3"/>
        <v/>
      </c>
      <c r="I17" s="75"/>
    </row>
    <row r="18" spans="1:9" x14ac:dyDescent="0.25">
      <c r="A18" s="14">
        <v>8</v>
      </c>
      <c r="B18" s="71"/>
      <c r="C18" s="15"/>
      <c r="D18" s="13" t="e">
        <f>VLOOKUP(B18,'4.1_1'!$M$1:$N$80,2,0)</f>
        <v>#N/A</v>
      </c>
      <c r="E18" s="74">
        <f t="shared" si="0"/>
        <v>0</v>
      </c>
      <c r="F18" s="74" t="str">
        <f t="shared" si="1"/>
        <v/>
      </c>
      <c r="G18" s="74">
        <f t="shared" si="2"/>
        <v>0</v>
      </c>
      <c r="H18" s="75" t="str">
        <f t="shared" si="3"/>
        <v/>
      </c>
      <c r="I18" s="75"/>
    </row>
    <row r="19" spans="1:9" x14ac:dyDescent="0.25">
      <c r="A19" s="14">
        <v>9</v>
      </c>
      <c r="B19" s="71"/>
      <c r="C19" s="15"/>
      <c r="D19" s="13" t="e">
        <f>VLOOKUP(B19,'4.1_1'!$M$1:$N$80,2,0)</f>
        <v>#N/A</v>
      </c>
      <c r="E19" s="74">
        <f t="shared" si="0"/>
        <v>0</v>
      </c>
      <c r="F19" s="74" t="str">
        <f t="shared" si="1"/>
        <v/>
      </c>
      <c r="G19" s="74">
        <f t="shared" si="2"/>
        <v>0</v>
      </c>
      <c r="H19" s="75" t="str">
        <f t="shared" si="3"/>
        <v/>
      </c>
      <c r="I19" s="75"/>
    </row>
    <row r="20" spans="1:9" x14ac:dyDescent="0.25">
      <c r="A20" s="14">
        <v>10</v>
      </c>
      <c r="B20" s="71"/>
      <c r="C20" s="15"/>
      <c r="D20" s="13" t="e">
        <f>VLOOKUP(B20,'4.1_1'!$M$1:$N$80,2,0)</f>
        <v>#N/A</v>
      </c>
      <c r="E20" s="74">
        <f t="shared" si="0"/>
        <v>0</v>
      </c>
      <c r="F20" s="74" t="str">
        <f t="shared" si="1"/>
        <v/>
      </c>
      <c r="G20" s="74">
        <f t="shared" si="2"/>
        <v>0</v>
      </c>
      <c r="H20" s="75" t="str">
        <f t="shared" si="3"/>
        <v/>
      </c>
      <c r="I20" s="75"/>
    </row>
    <row r="21" spans="1:9" x14ac:dyDescent="0.25">
      <c r="A21" s="14">
        <v>11</v>
      </c>
      <c r="B21" s="71"/>
      <c r="C21" s="15"/>
      <c r="D21" s="13" t="e">
        <f>VLOOKUP(B21,'4.1_1'!$M$1:$N$80,2,0)</f>
        <v>#N/A</v>
      </c>
      <c r="E21" s="74">
        <f t="shared" si="0"/>
        <v>0</v>
      </c>
      <c r="F21" s="74" t="str">
        <f t="shared" si="1"/>
        <v/>
      </c>
      <c r="G21" s="74">
        <f t="shared" si="2"/>
        <v>0</v>
      </c>
      <c r="H21" s="75" t="str">
        <f t="shared" si="3"/>
        <v/>
      </c>
      <c r="I21" s="75"/>
    </row>
    <row r="22" spans="1:9" x14ac:dyDescent="0.25">
      <c r="A22" s="14">
        <v>12</v>
      </c>
      <c r="B22" s="71"/>
      <c r="C22" s="15"/>
      <c r="D22" s="13" t="e">
        <f>VLOOKUP(B22,'4.1_1'!$M$1:$N$80,2,0)</f>
        <v>#N/A</v>
      </c>
      <c r="E22" s="74">
        <f t="shared" si="0"/>
        <v>0</v>
      </c>
      <c r="F22" s="74" t="str">
        <f t="shared" si="1"/>
        <v/>
      </c>
      <c r="G22" s="74">
        <f t="shared" si="2"/>
        <v>0</v>
      </c>
      <c r="H22" s="75" t="str">
        <f t="shared" si="3"/>
        <v/>
      </c>
      <c r="I22" s="75"/>
    </row>
    <row r="23" spans="1:9" x14ac:dyDescent="0.25">
      <c r="A23" s="14">
        <v>13</v>
      </c>
      <c r="B23" s="71"/>
      <c r="C23" s="15"/>
      <c r="D23" s="13" t="e">
        <f>VLOOKUP(B23,'4.1_1'!$M$1:$N$80,2,0)</f>
        <v>#N/A</v>
      </c>
      <c r="E23" s="74">
        <f t="shared" si="0"/>
        <v>0</v>
      </c>
      <c r="F23" s="74" t="str">
        <f t="shared" si="1"/>
        <v/>
      </c>
      <c r="G23" s="74">
        <f t="shared" si="2"/>
        <v>0</v>
      </c>
      <c r="H23" s="75" t="str">
        <f t="shared" si="3"/>
        <v/>
      </c>
      <c r="I23" s="75"/>
    </row>
    <row r="24" spans="1:9" x14ac:dyDescent="0.25">
      <c r="A24" s="14">
        <v>14</v>
      </c>
      <c r="B24" s="71"/>
      <c r="C24" s="15"/>
      <c r="D24" s="13" t="e">
        <f>VLOOKUP(B24,'4.1_1'!$M$1:$N$80,2,0)</f>
        <v>#N/A</v>
      </c>
      <c r="E24" s="74">
        <f t="shared" si="0"/>
        <v>0</v>
      </c>
      <c r="F24" s="74" t="str">
        <f t="shared" si="1"/>
        <v/>
      </c>
      <c r="G24" s="74">
        <f t="shared" si="2"/>
        <v>0</v>
      </c>
      <c r="H24" s="75" t="str">
        <f t="shared" si="3"/>
        <v/>
      </c>
      <c r="I24" s="75"/>
    </row>
    <row r="25" spans="1:9" x14ac:dyDescent="0.25">
      <c r="A25" s="14">
        <v>15</v>
      </c>
      <c r="B25" s="71"/>
      <c r="C25" s="15"/>
      <c r="D25" s="13" t="e">
        <f>VLOOKUP(B25,'4.1_1'!$M$1:$N$80,2,0)</f>
        <v>#N/A</v>
      </c>
      <c r="E25" s="74">
        <f t="shared" si="0"/>
        <v>0</v>
      </c>
      <c r="F25" s="74" t="str">
        <f t="shared" si="1"/>
        <v/>
      </c>
      <c r="G25" s="74">
        <f t="shared" si="2"/>
        <v>0</v>
      </c>
      <c r="H25" s="75" t="str">
        <f t="shared" si="3"/>
        <v/>
      </c>
      <c r="I25" s="75"/>
    </row>
    <row r="26" spans="1:9" x14ac:dyDescent="0.25">
      <c r="A26" s="14">
        <v>16</v>
      </c>
      <c r="B26" s="71"/>
      <c r="C26" s="15"/>
      <c r="D26" s="13" t="e">
        <f>VLOOKUP(B26,'4.1_1'!$M$1:$N$80,2,0)</f>
        <v>#N/A</v>
      </c>
      <c r="E26" s="74">
        <f t="shared" si="0"/>
        <v>0</v>
      </c>
      <c r="F26" s="74" t="str">
        <f t="shared" si="1"/>
        <v/>
      </c>
      <c r="G26" s="74">
        <f t="shared" si="2"/>
        <v>0</v>
      </c>
      <c r="H26" s="75" t="str">
        <f t="shared" si="3"/>
        <v/>
      </c>
      <c r="I26" s="75"/>
    </row>
    <row r="27" spans="1:9" x14ac:dyDescent="0.25">
      <c r="A27" s="14">
        <v>17</v>
      </c>
      <c r="B27" s="71"/>
      <c r="C27" s="15"/>
      <c r="D27" s="13" t="e">
        <f>VLOOKUP(B27,'4.1_1'!$M$1:$N$80,2,0)</f>
        <v>#N/A</v>
      </c>
      <c r="E27" s="74">
        <f t="shared" si="0"/>
        <v>0</v>
      </c>
      <c r="F27" s="74" t="str">
        <f t="shared" si="1"/>
        <v/>
      </c>
      <c r="G27" s="74">
        <f t="shared" si="2"/>
        <v>0</v>
      </c>
      <c r="H27" s="75" t="str">
        <f t="shared" si="3"/>
        <v/>
      </c>
      <c r="I27" s="75"/>
    </row>
    <row r="28" spans="1:9" x14ac:dyDescent="0.25">
      <c r="A28" s="14">
        <v>18</v>
      </c>
      <c r="B28" s="71"/>
      <c r="C28" s="15"/>
      <c r="D28" s="13" t="e">
        <f>VLOOKUP(B28,'4.1_1'!$M$1:$N$80,2,0)</f>
        <v>#N/A</v>
      </c>
      <c r="E28" s="74">
        <f t="shared" si="0"/>
        <v>0</v>
      </c>
      <c r="F28" s="74" t="str">
        <f t="shared" si="1"/>
        <v/>
      </c>
      <c r="G28" s="74">
        <f t="shared" si="2"/>
        <v>0</v>
      </c>
      <c r="H28" s="75" t="str">
        <f t="shared" si="3"/>
        <v/>
      </c>
      <c r="I28" s="75"/>
    </row>
    <row r="29" spans="1:9" x14ac:dyDescent="0.25">
      <c r="A29" s="14">
        <v>19</v>
      </c>
      <c r="B29" s="71"/>
      <c r="C29" s="15"/>
      <c r="D29" s="13" t="e">
        <f>VLOOKUP(B29,'4.1_1'!$M$1:$N$80,2,0)</f>
        <v>#N/A</v>
      </c>
      <c r="E29" s="74">
        <f t="shared" si="0"/>
        <v>0</v>
      </c>
      <c r="F29" s="74" t="str">
        <f t="shared" si="1"/>
        <v/>
      </c>
      <c r="G29" s="74">
        <f t="shared" si="2"/>
        <v>0</v>
      </c>
      <c r="H29" s="75" t="str">
        <f t="shared" si="3"/>
        <v/>
      </c>
      <c r="I29" s="75"/>
    </row>
    <row r="30" spans="1:9" x14ac:dyDescent="0.25">
      <c r="A30" s="14">
        <v>20</v>
      </c>
      <c r="B30" s="71"/>
      <c r="C30" s="15"/>
      <c r="D30" s="13" t="e">
        <f>VLOOKUP(B30,'4.1_1'!$M$1:$N$80,2,0)</f>
        <v>#N/A</v>
      </c>
      <c r="E30" s="74">
        <f t="shared" si="0"/>
        <v>0</v>
      </c>
      <c r="F30" s="74" t="str">
        <f t="shared" si="1"/>
        <v/>
      </c>
      <c r="G30" s="74">
        <f t="shared" si="2"/>
        <v>0</v>
      </c>
      <c r="H30" s="75" t="str">
        <f t="shared" si="3"/>
        <v/>
      </c>
      <c r="I30" s="75"/>
    </row>
    <row r="31" spans="1:9" x14ac:dyDescent="0.25">
      <c r="A31" s="14">
        <v>21</v>
      </c>
      <c r="B31" s="71"/>
      <c r="C31" s="15"/>
      <c r="D31" s="13" t="e">
        <f>VLOOKUP(B31,'4.1_1'!$M$1:$N$80,2,0)</f>
        <v>#N/A</v>
      </c>
      <c r="E31" s="74">
        <f t="shared" si="0"/>
        <v>0</v>
      </c>
      <c r="F31" s="74" t="str">
        <f t="shared" si="1"/>
        <v/>
      </c>
      <c r="G31" s="74">
        <f t="shared" si="2"/>
        <v>0</v>
      </c>
      <c r="H31" s="75" t="str">
        <f t="shared" si="3"/>
        <v/>
      </c>
      <c r="I31" s="75"/>
    </row>
    <row r="32" spans="1:9" x14ac:dyDescent="0.25">
      <c r="A32" s="14">
        <v>22</v>
      </c>
      <c r="B32" s="71"/>
      <c r="C32" s="15"/>
      <c r="D32" s="13" t="e">
        <f>VLOOKUP(B32,'4.1_1'!$M$1:$N$80,2,0)</f>
        <v>#N/A</v>
      </c>
      <c r="E32" s="74">
        <f t="shared" si="0"/>
        <v>0</v>
      </c>
      <c r="F32" s="74" t="str">
        <f t="shared" si="1"/>
        <v/>
      </c>
      <c r="G32" s="74">
        <f t="shared" si="2"/>
        <v>0</v>
      </c>
      <c r="H32" s="75" t="str">
        <f t="shared" si="3"/>
        <v/>
      </c>
      <c r="I32" s="75"/>
    </row>
    <row r="33" spans="1:9" x14ac:dyDescent="0.25">
      <c r="A33" s="14">
        <v>23</v>
      </c>
      <c r="B33" s="71"/>
      <c r="C33" s="15"/>
      <c r="D33" s="13" t="e">
        <f>VLOOKUP(B33,'4.1_1'!$M$1:$N$80,2,0)</f>
        <v>#N/A</v>
      </c>
      <c r="E33" s="74">
        <f t="shared" si="0"/>
        <v>0</v>
      </c>
      <c r="F33" s="74" t="str">
        <f t="shared" si="1"/>
        <v/>
      </c>
      <c r="G33" s="74">
        <f t="shared" si="2"/>
        <v>0</v>
      </c>
      <c r="H33" s="75" t="str">
        <f t="shared" si="3"/>
        <v/>
      </c>
      <c r="I33" s="75"/>
    </row>
    <row r="34" spans="1:9" x14ac:dyDescent="0.25">
      <c r="A34" s="14">
        <v>24</v>
      </c>
      <c r="B34" s="71"/>
      <c r="C34" s="15"/>
      <c r="D34" s="13" t="e">
        <f>VLOOKUP(B34,'4.1_1'!$M$1:$N$80,2,0)</f>
        <v>#N/A</v>
      </c>
      <c r="E34" s="74">
        <f t="shared" si="0"/>
        <v>0</v>
      </c>
      <c r="F34" s="74" t="str">
        <f t="shared" si="1"/>
        <v/>
      </c>
      <c r="G34" s="74">
        <f t="shared" si="2"/>
        <v>0</v>
      </c>
      <c r="H34" s="75" t="str">
        <f t="shared" si="3"/>
        <v/>
      </c>
      <c r="I34" s="75"/>
    </row>
    <row r="35" spans="1:9" x14ac:dyDescent="0.25">
      <c r="A35" s="14">
        <v>25</v>
      </c>
      <c r="B35" s="71"/>
      <c r="C35" s="15"/>
      <c r="D35" s="13" t="e">
        <f>VLOOKUP(B35,'4.1_1'!$M$1:$N$80,2,0)</f>
        <v>#N/A</v>
      </c>
      <c r="E35" s="74">
        <f t="shared" si="0"/>
        <v>0</v>
      </c>
      <c r="F35" s="74" t="str">
        <f t="shared" si="1"/>
        <v/>
      </c>
      <c r="G35" s="74">
        <f t="shared" si="2"/>
        <v>0</v>
      </c>
      <c r="H35" s="75" t="str">
        <f t="shared" si="3"/>
        <v/>
      </c>
      <c r="I35" s="75"/>
    </row>
    <row r="36" spans="1:9" x14ac:dyDescent="0.25">
      <c r="A36" s="14">
        <v>26</v>
      </c>
      <c r="B36" s="71"/>
      <c r="C36" s="15"/>
      <c r="D36" s="13" t="e">
        <f>VLOOKUP(B36,'4.1_1'!$M$1:$N$80,2,0)</f>
        <v>#N/A</v>
      </c>
      <c r="E36" s="74">
        <f t="shared" si="0"/>
        <v>0</v>
      </c>
      <c r="F36" s="74" t="str">
        <f t="shared" si="1"/>
        <v/>
      </c>
      <c r="G36" s="74">
        <f t="shared" si="2"/>
        <v>0</v>
      </c>
      <c r="H36" s="75" t="str">
        <f t="shared" si="3"/>
        <v/>
      </c>
      <c r="I36" s="75"/>
    </row>
    <row r="37" spans="1:9" x14ac:dyDescent="0.25">
      <c r="A37" s="14">
        <v>27</v>
      </c>
      <c r="B37" s="71"/>
      <c r="C37" s="15"/>
      <c r="D37" s="13" t="e">
        <f>VLOOKUP(B37,'4.1_1'!$M$1:$N$80,2,0)</f>
        <v>#N/A</v>
      </c>
      <c r="E37" s="74">
        <f t="shared" si="0"/>
        <v>0</v>
      </c>
      <c r="F37" s="74" t="str">
        <f t="shared" si="1"/>
        <v/>
      </c>
      <c r="G37" s="74">
        <f t="shared" si="2"/>
        <v>0</v>
      </c>
      <c r="H37" s="75" t="str">
        <f t="shared" si="3"/>
        <v/>
      </c>
      <c r="I37" s="75"/>
    </row>
    <row r="38" spans="1:9" x14ac:dyDescent="0.25">
      <c r="A38" s="14">
        <v>28</v>
      </c>
      <c r="B38" s="71"/>
      <c r="C38" s="15"/>
      <c r="D38" s="13" t="e">
        <f>VLOOKUP(B38,'4.1_1'!$M$1:$N$80,2,0)</f>
        <v>#N/A</v>
      </c>
      <c r="E38" s="74">
        <f t="shared" si="0"/>
        <v>0</v>
      </c>
      <c r="F38" s="74" t="str">
        <f t="shared" si="1"/>
        <v/>
      </c>
      <c r="G38" s="74">
        <f t="shared" si="2"/>
        <v>0</v>
      </c>
      <c r="H38" s="75" t="str">
        <f t="shared" si="3"/>
        <v/>
      </c>
      <c r="I38" s="75"/>
    </row>
    <row r="39" spans="1:9" x14ac:dyDescent="0.25">
      <c r="A39" s="14">
        <v>29</v>
      </c>
      <c r="B39" s="71"/>
      <c r="C39" s="15"/>
      <c r="D39" s="13" t="e">
        <f>VLOOKUP(B39,'4.1_1'!$M$1:$N$80,2,0)</f>
        <v>#N/A</v>
      </c>
      <c r="E39" s="74">
        <f t="shared" si="0"/>
        <v>0</v>
      </c>
      <c r="F39" s="74" t="str">
        <f t="shared" si="1"/>
        <v/>
      </c>
      <c r="G39" s="74">
        <f t="shared" si="2"/>
        <v>0</v>
      </c>
      <c r="H39" s="75" t="str">
        <f t="shared" si="3"/>
        <v/>
      </c>
      <c r="I39" s="75"/>
    </row>
    <row r="40" spans="1:9" x14ac:dyDescent="0.25">
      <c r="A40" s="14">
        <v>30</v>
      </c>
      <c r="B40" s="71"/>
      <c r="C40" s="15"/>
      <c r="D40" s="13" t="e">
        <f>VLOOKUP(B40,'4.1_1'!$M$1:$N$80,2,0)</f>
        <v>#N/A</v>
      </c>
      <c r="E40" s="74">
        <f t="shared" si="0"/>
        <v>0</v>
      </c>
      <c r="F40" s="74" t="str">
        <f t="shared" si="1"/>
        <v/>
      </c>
      <c r="G40" s="74">
        <f t="shared" si="2"/>
        <v>0</v>
      </c>
      <c r="H40" s="75" t="str">
        <f t="shared" si="3"/>
        <v/>
      </c>
      <c r="I40" s="75"/>
    </row>
    <row r="43" spans="1:9" hidden="1" x14ac:dyDescent="0.25">
      <c r="A43" s="16"/>
      <c r="B43" s="16"/>
      <c r="C43" s="16"/>
      <c r="D43" s="16"/>
      <c r="E43" s="17">
        <f>SUM(E11:E40)</f>
        <v>0</v>
      </c>
      <c r="F43" s="18">
        <f>COUNT(F11:F40)</f>
        <v>0</v>
      </c>
      <c r="G43" s="16"/>
      <c r="H43" s="16"/>
      <c r="I43" s="16"/>
    </row>
    <row r="44" spans="1:9" x14ac:dyDescent="0.25">
      <c r="B44" s="11" t="s">
        <v>24</v>
      </c>
      <c r="E44" s="19">
        <f>IFERROR(F44,0)</f>
        <v>0</v>
      </c>
      <c r="F44" s="9" t="e">
        <f>E43/F43</f>
        <v>#DIV/0!</v>
      </c>
    </row>
  </sheetData>
  <sheetProtection password="CD91" sheet="1" objects="1" scenarios="1"/>
  <mergeCells count="2">
    <mergeCell ref="B4:I4"/>
    <mergeCell ref="B5:I5"/>
  </mergeCells>
  <conditionalFormatting sqref="H11:H40">
    <cfRule type="cellIs" dxfId="1" priority="2" operator="equal">
      <formula>"okres je zadaný viackrát"</formula>
    </cfRule>
  </conditionalFormatting>
  <conditionalFormatting sqref="I11:I40">
    <cfRule type="cellIs" dxfId="0" priority="1" operator="equal">
      <formula>"nezadané miesto realizácie"</formula>
    </cfRule>
  </conditionalFormatting>
  <pageMargins left="0.19685039370078741" right="0.19685039370078741" top="0.74803149606299213" bottom="0.74803149606299213" header="0.31496062992125984" footer="0.31496062992125984"/>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'4.1_1'!$M$2:$M$80</xm:f>
          </x14:formula1>
          <xm:sqref>B11:B40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13</vt:i4>
      </vt:variant>
    </vt:vector>
  </HeadingPairs>
  <TitlesOfParts>
    <vt:vector size="15" baseType="lpstr">
      <vt:lpstr>4.1_1</vt:lpstr>
      <vt:lpstr>Nezamestanosť</vt:lpstr>
      <vt:lpstr>'4.1_1'!_edn1</vt:lpstr>
      <vt:lpstr>'4.1_1'!_edn2</vt:lpstr>
      <vt:lpstr>'4.1_1'!_edn3</vt:lpstr>
      <vt:lpstr>'4.1_1'!_edn4</vt:lpstr>
      <vt:lpstr>'4.1_1'!_edn5</vt:lpstr>
      <vt:lpstr>'4.1_1'!_edn6</vt:lpstr>
      <vt:lpstr>'4.1_1'!_edn7</vt:lpstr>
      <vt:lpstr>'4.1_1'!_ednref1</vt:lpstr>
      <vt:lpstr>'4.1_1'!_ednref2</vt:lpstr>
      <vt:lpstr>'4.1_1'!_ednref3</vt:lpstr>
      <vt:lpstr>'4.1_1'!_ednref4</vt:lpstr>
      <vt:lpstr>'4.1_1'!_ednref5</vt:lpstr>
      <vt:lpstr>'4.1_1'!_ednref7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Kužma Emil</cp:lastModifiedBy>
  <cp:lastPrinted>2015-05-13T08:08:50Z</cp:lastPrinted>
  <dcterms:created xsi:type="dcterms:W3CDTF">2015-04-27T18:23:37Z</dcterms:created>
  <dcterms:modified xsi:type="dcterms:W3CDTF">2015-06-04T12:51:28Z</dcterms:modified>
</cp:coreProperties>
</file>